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bras em andamento\Obra porteirão\"/>
    </mc:Choice>
  </mc:AlternateContent>
  <xr:revisionPtr revIDLastSave="0" documentId="13_ncr:1_{B3185998-E463-4C15-BE24-3BA8D5C3B17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sumo" sheetId="14" r:id="rId1"/>
    <sheet name="Planilha orçamentaria" sheetId="18" r:id="rId2"/>
    <sheet name="Somatorio" sheetId="36" r:id="rId3"/>
    <sheet name="Cronograma" sheetId="42" r:id="rId4"/>
    <sheet name="BDI" sheetId="49" r:id="rId5"/>
    <sheet name="Relatorio central" sheetId="60" r:id="rId6"/>
    <sheet name="Parcela de maior relevancia" sheetId="65" r:id="rId7"/>
  </sheets>
  <definedNames>
    <definedName name="_xlnm.Print_Area" localSheetId="4">BDI!$A$1:$D$38</definedName>
    <definedName name="_xlnm.Print_Area" localSheetId="1">'Planilha orçamentaria'!$A$1:$I$166</definedName>
    <definedName name="_xlnm.Print_Titles" localSheetId="1">'Planilha orçamentaria'!$1:$5</definedName>
  </definedNames>
  <calcPr calcId="191029"/>
</workbook>
</file>

<file path=xl/calcChain.xml><?xml version="1.0" encoding="utf-8"?>
<calcChain xmlns="http://schemas.openxmlformats.org/spreadsheetml/2006/main">
  <c r="N9" i="18" l="1"/>
  <c r="N12" i="18"/>
  <c r="N15" i="18"/>
  <c r="N16" i="18"/>
  <c r="N20" i="18"/>
  <c r="N22" i="18"/>
  <c r="N24" i="18"/>
  <c r="N27" i="18"/>
  <c r="N30" i="18"/>
  <c r="N31" i="18"/>
  <c r="N33" i="18"/>
  <c r="N35" i="18"/>
  <c r="N36" i="18"/>
  <c r="N40" i="18"/>
  <c r="N43" i="18"/>
  <c r="N44" i="18"/>
  <c r="N55" i="18"/>
  <c r="N64" i="18"/>
  <c r="N66" i="18"/>
  <c r="N67" i="18"/>
  <c r="N71" i="18"/>
  <c r="N72" i="18"/>
  <c r="N99" i="18"/>
  <c r="N109" i="18"/>
  <c r="N111" i="18"/>
  <c r="N113" i="18"/>
  <c r="N117" i="18"/>
  <c r="N120" i="18"/>
  <c r="N123" i="18"/>
  <c r="N124" i="18"/>
  <c r="N127" i="18"/>
  <c r="N128" i="18"/>
  <c r="N139" i="18"/>
  <c r="N140" i="18"/>
  <c r="N141" i="18"/>
  <c r="N147" i="18"/>
  <c r="N150" i="18"/>
  <c r="N152" i="18"/>
  <c r="N155" i="18"/>
  <c r="N156" i="18"/>
  <c r="N157" i="18"/>
  <c r="N159" i="18"/>
  <c r="M9" i="18"/>
  <c r="M12" i="18"/>
  <c r="M15" i="18"/>
  <c r="M16" i="18"/>
  <c r="M20" i="18"/>
  <c r="M22" i="18"/>
  <c r="M24" i="18"/>
  <c r="M27" i="18"/>
  <c r="M30" i="18"/>
  <c r="M31" i="18"/>
  <c r="M33" i="18"/>
  <c r="M35" i="18"/>
  <c r="M36" i="18"/>
  <c r="M40" i="18"/>
  <c r="M43" i="18"/>
  <c r="M44" i="18"/>
  <c r="M55" i="18"/>
  <c r="M64" i="18"/>
  <c r="M66" i="18"/>
  <c r="M67" i="18"/>
  <c r="M71" i="18"/>
  <c r="M72" i="18"/>
  <c r="M99" i="18"/>
  <c r="M109" i="18"/>
  <c r="M111" i="18"/>
  <c r="M113" i="18"/>
  <c r="M117" i="18"/>
  <c r="M120" i="18"/>
  <c r="M123" i="18"/>
  <c r="M124" i="18"/>
  <c r="M127" i="18"/>
  <c r="M128" i="18"/>
  <c r="M139" i="18"/>
  <c r="M140" i="18"/>
  <c r="M141" i="18"/>
  <c r="M147" i="18"/>
  <c r="M150" i="18"/>
  <c r="M152" i="18"/>
  <c r="M155" i="18"/>
  <c r="M156" i="18"/>
  <c r="M157" i="18"/>
  <c r="M159" i="18"/>
  <c r="H10" i="18"/>
  <c r="N10" i="18" s="1"/>
  <c r="H11" i="18"/>
  <c r="N11" i="18" s="1"/>
  <c r="H13" i="18"/>
  <c r="N13" i="18" s="1"/>
  <c r="H14" i="18"/>
  <c r="N14" i="18" s="1"/>
  <c r="H17" i="18"/>
  <c r="N17" i="18" s="1"/>
  <c r="H18" i="18"/>
  <c r="N18" i="18" s="1"/>
  <c r="H19" i="18"/>
  <c r="N19" i="18" s="1"/>
  <c r="H21" i="18"/>
  <c r="N21" i="18" s="1"/>
  <c r="H23" i="18"/>
  <c r="N23" i="18" s="1"/>
  <c r="H25" i="18"/>
  <c r="N25" i="18" s="1"/>
  <c r="H26" i="18"/>
  <c r="N26" i="18" s="1"/>
  <c r="H28" i="18"/>
  <c r="N28" i="18" s="1"/>
  <c r="H29" i="18"/>
  <c r="N29" i="18" s="1"/>
  <c r="H32" i="18"/>
  <c r="N32" i="18" s="1"/>
  <c r="H34" i="18"/>
  <c r="N34" i="18" s="1"/>
  <c r="H37" i="18"/>
  <c r="N37" i="18" s="1"/>
  <c r="H38" i="18"/>
  <c r="N38" i="18" s="1"/>
  <c r="H39" i="18"/>
  <c r="N39" i="18" s="1"/>
  <c r="H41" i="18"/>
  <c r="N41" i="18" s="1"/>
  <c r="H42" i="18"/>
  <c r="N42" i="18" s="1"/>
  <c r="H45" i="18"/>
  <c r="N45" i="18" s="1"/>
  <c r="H46" i="18"/>
  <c r="N46" i="18" s="1"/>
  <c r="H47" i="18"/>
  <c r="N47" i="18" s="1"/>
  <c r="H48" i="18"/>
  <c r="N48" i="18" s="1"/>
  <c r="H49" i="18"/>
  <c r="N49" i="18" s="1"/>
  <c r="H50" i="18"/>
  <c r="N50" i="18" s="1"/>
  <c r="H51" i="18"/>
  <c r="N51" i="18" s="1"/>
  <c r="H52" i="18"/>
  <c r="N52" i="18" s="1"/>
  <c r="H53" i="18"/>
  <c r="N53" i="18" s="1"/>
  <c r="H54" i="18"/>
  <c r="N54" i="18" s="1"/>
  <c r="H56" i="18"/>
  <c r="N56" i="18" s="1"/>
  <c r="H57" i="18"/>
  <c r="N57" i="18" s="1"/>
  <c r="H58" i="18"/>
  <c r="N58" i="18" s="1"/>
  <c r="H59" i="18"/>
  <c r="N59" i="18" s="1"/>
  <c r="H60" i="18"/>
  <c r="N60" i="18" s="1"/>
  <c r="H61" i="18"/>
  <c r="N61" i="18" s="1"/>
  <c r="H62" i="18"/>
  <c r="N62" i="18" s="1"/>
  <c r="H63" i="18"/>
  <c r="N63" i="18" s="1"/>
  <c r="H65" i="18"/>
  <c r="N65" i="18" s="1"/>
  <c r="H68" i="18"/>
  <c r="N68" i="18" s="1"/>
  <c r="H69" i="18"/>
  <c r="N69" i="18" s="1"/>
  <c r="H70" i="18"/>
  <c r="N70" i="18" s="1"/>
  <c r="H73" i="18"/>
  <c r="N73" i="18" s="1"/>
  <c r="H74" i="18"/>
  <c r="N74" i="18" s="1"/>
  <c r="H75" i="18"/>
  <c r="N75" i="18" s="1"/>
  <c r="H76" i="18"/>
  <c r="N76" i="18" s="1"/>
  <c r="H77" i="18"/>
  <c r="N77" i="18" s="1"/>
  <c r="H78" i="18"/>
  <c r="N78" i="18" s="1"/>
  <c r="H79" i="18"/>
  <c r="N79" i="18" s="1"/>
  <c r="H80" i="18"/>
  <c r="N80" i="18" s="1"/>
  <c r="H81" i="18"/>
  <c r="N81" i="18" s="1"/>
  <c r="H82" i="18"/>
  <c r="N82" i="18" s="1"/>
  <c r="H83" i="18"/>
  <c r="N83" i="18" s="1"/>
  <c r="H84" i="18"/>
  <c r="N84" i="18" s="1"/>
  <c r="H85" i="18"/>
  <c r="N85" i="18" s="1"/>
  <c r="H86" i="18"/>
  <c r="N86" i="18" s="1"/>
  <c r="H87" i="18"/>
  <c r="N87" i="18" s="1"/>
  <c r="H88" i="18"/>
  <c r="N88" i="18" s="1"/>
  <c r="H89" i="18"/>
  <c r="N89" i="18" s="1"/>
  <c r="H90" i="18"/>
  <c r="N90" i="18" s="1"/>
  <c r="H91" i="18"/>
  <c r="N91" i="18" s="1"/>
  <c r="H92" i="18"/>
  <c r="N92" i="18" s="1"/>
  <c r="H93" i="18"/>
  <c r="N93" i="18" s="1"/>
  <c r="H94" i="18"/>
  <c r="N94" i="18" s="1"/>
  <c r="H95" i="18"/>
  <c r="N95" i="18" s="1"/>
  <c r="H96" i="18"/>
  <c r="N96" i="18" s="1"/>
  <c r="H97" i="18"/>
  <c r="N97" i="18" s="1"/>
  <c r="H98" i="18"/>
  <c r="N98" i="18" s="1"/>
  <c r="H100" i="18"/>
  <c r="N100" i="18" s="1"/>
  <c r="H101" i="18"/>
  <c r="N101" i="18" s="1"/>
  <c r="H102" i="18"/>
  <c r="N102" i="18" s="1"/>
  <c r="H103" i="18"/>
  <c r="N103" i="18" s="1"/>
  <c r="H104" i="18"/>
  <c r="N104" i="18" s="1"/>
  <c r="H105" i="18"/>
  <c r="N105" i="18" s="1"/>
  <c r="H106" i="18"/>
  <c r="N106" i="18" s="1"/>
  <c r="H107" i="18"/>
  <c r="N107" i="18" s="1"/>
  <c r="H108" i="18"/>
  <c r="N108" i="18" s="1"/>
  <c r="H110" i="18"/>
  <c r="N110" i="18" s="1"/>
  <c r="H112" i="18"/>
  <c r="N112" i="18" s="1"/>
  <c r="H114" i="18"/>
  <c r="N114" i="18" s="1"/>
  <c r="H115" i="18"/>
  <c r="N115" i="18" s="1"/>
  <c r="H116" i="18"/>
  <c r="N116" i="18" s="1"/>
  <c r="H118" i="18"/>
  <c r="N118" i="18" s="1"/>
  <c r="H119" i="18"/>
  <c r="N119" i="18" s="1"/>
  <c r="H121" i="18"/>
  <c r="N121" i="18" s="1"/>
  <c r="H122" i="18"/>
  <c r="N122" i="18" s="1"/>
  <c r="H125" i="18"/>
  <c r="N125" i="18" s="1"/>
  <c r="H126" i="18"/>
  <c r="N126" i="18" s="1"/>
  <c r="H129" i="18"/>
  <c r="N129" i="18" s="1"/>
  <c r="H130" i="18"/>
  <c r="N130" i="18" s="1"/>
  <c r="H131" i="18"/>
  <c r="N131" i="18" s="1"/>
  <c r="H132" i="18"/>
  <c r="N132" i="18" s="1"/>
  <c r="H133" i="18"/>
  <c r="N133" i="18" s="1"/>
  <c r="H134" i="18"/>
  <c r="N134" i="18" s="1"/>
  <c r="H135" i="18"/>
  <c r="N135" i="18" s="1"/>
  <c r="H136" i="18"/>
  <c r="N136" i="18" s="1"/>
  <c r="H137" i="18"/>
  <c r="N137" i="18" s="1"/>
  <c r="H138" i="18"/>
  <c r="N138" i="18" s="1"/>
  <c r="H142" i="18"/>
  <c r="N142" i="18" s="1"/>
  <c r="H143" i="18"/>
  <c r="N143" i="18" s="1"/>
  <c r="H144" i="18"/>
  <c r="N144" i="18" s="1"/>
  <c r="H145" i="18"/>
  <c r="N145" i="18" s="1"/>
  <c r="H146" i="18"/>
  <c r="N146" i="18" s="1"/>
  <c r="H148" i="18"/>
  <c r="N148" i="18" s="1"/>
  <c r="H149" i="18"/>
  <c r="N149" i="18" s="1"/>
  <c r="H151" i="18"/>
  <c r="N151" i="18" s="1"/>
  <c r="H153" i="18"/>
  <c r="N153" i="18" s="1"/>
  <c r="H154" i="18"/>
  <c r="N154" i="18" s="1"/>
  <c r="H158" i="18"/>
  <c r="N158" i="18" s="1"/>
  <c r="H160" i="18"/>
  <c r="N160" i="18" s="1"/>
  <c r="G10" i="18"/>
  <c r="I10" i="18" s="1"/>
  <c r="G11" i="18"/>
  <c r="M11" i="18" s="1"/>
  <c r="M13" i="18"/>
  <c r="G14" i="18"/>
  <c r="G17" i="18"/>
  <c r="I17" i="18" s="1"/>
  <c r="G18" i="18"/>
  <c r="G19" i="18"/>
  <c r="M19" i="18" s="1"/>
  <c r="G21" i="18"/>
  <c r="M21" i="18" s="1"/>
  <c r="G23" i="18"/>
  <c r="M23" i="18" s="1"/>
  <c r="G25" i="18"/>
  <c r="M25" i="18" s="1"/>
  <c r="G26" i="18"/>
  <c r="M26" i="18" s="1"/>
  <c r="G28" i="18"/>
  <c r="G29" i="18"/>
  <c r="I29" i="18" s="1"/>
  <c r="G32" i="18"/>
  <c r="G34" i="18"/>
  <c r="G37" i="18"/>
  <c r="M37" i="18" s="1"/>
  <c r="G38" i="18"/>
  <c r="M38" i="18" s="1"/>
  <c r="G39" i="18"/>
  <c r="M39" i="18" s="1"/>
  <c r="G41" i="18"/>
  <c r="M41" i="18" s="1"/>
  <c r="G42" i="18"/>
  <c r="G45" i="18"/>
  <c r="I45" i="18" s="1"/>
  <c r="G46" i="18"/>
  <c r="G47" i="18"/>
  <c r="G48" i="18"/>
  <c r="I48" i="18" s="1"/>
  <c r="G49" i="18"/>
  <c r="I49" i="18" s="1"/>
  <c r="G50" i="18"/>
  <c r="G51" i="18"/>
  <c r="M51" i="18" s="1"/>
  <c r="G52" i="18"/>
  <c r="G53" i="18"/>
  <c r="I53" i="18" s="1"/>
  <c r="G54" i="18"/>
  <c r="G56" i="18"/>
  <c r="G57" i="18"/>
  <c r="I57" i="18" s="1"/>
  <c r="G58" i="18"/>
  <c r="I58" i="18" s="1"/>
  <c r="G59" i="18"/>
  <c r="M59" i="18" s="1"/>
  <c r="G60" i="18"/>
  <c r="M60" i="18" s="1"/>
  <c r="G61" i="18"/>
  <c r="G62" i="18"/>
  <c r="I62" i="18" s="1"/>
  <c r="G63" i="18"/>
  <c r="G65" i="18"/>
  <c r="G68" i="18"/>
  <c r="M68" i="18" s="1"/>
  <c r="G69" i="18"/>
  <c r="M69" i="18" s="1"/>
  <c r="G70" i="18"/>
  <c r="M70" i="18" s="1"/>
  <c r="G73" i="18"/>
  <c r="M73" i="18" s="1"/>
  <c r="G74" i="18"/>
  <c r="G75" i="18"/>
  <c r="M75" i="18" s="1"/>
  <c r="G76" i="18"/>
  <c r="M76" i="18" s="1"/>
  <c r="G77" i="18"/>
  <c r="M77" i="18" s="1"/>
  <c r="G78" i="18"/>
  <c r="M78" i="18" s="1"/>
  <c r="G79" i="18"/>
  <c r="M79" i="18" s="1"/>
  <c r="G80" i="18"/>
  <c r="M80" i="18" s="1"/>
  <c r="G81" i="18"/>
  <c r="M81" i="18" s="1"/>
  <c r="G82" i="18"/>
  <c r="G83" i="18"/>
  <c r="M83" i="18" s="1"/>
  <c r="G84" i="18"/>
  <c r="M84" i="18" s="1"/>
  <c r="G85" i="18"/>
  <c r="M85" i="18" s="1"/>
  <c r="G86" i="18"/>
  <c r="M86" i="18" s="1"/>
  <c r="G87" i="18"/>
  <c r="M87" i="18" s="1"/>
  <c r="G88" i="18"/>
  <c r="M88" i="18" s="1"/>
  <c r="G89" i="18"/>
  <c r="M89" i="18" s="1"/>
  <c r="G90" i="18"/>
  <c r="G91" i="18"/>
  <c r="M91" i="18" s="1"/>
  <c r="G92" i="18"/>
  <c r="M92" i="18" s="1"/>
  <c r="G93" i="18"/>
  <c r="M93" i="18" s="1"/>
  <c r="G94" i="18"/>
  <c r="M94" i="18" s="1"/>
  <c r="G95" i="18"/>
  <c r="M95" i="18" s="1"/>
  <c r="G96" i="18"/>
  <c r="M96" i="18" s="1"/>
  <c r="G97" i="18"/>
  <c r="M97" i="18" s="1"/>
  <c r="G98" i="18"/>
  <c r="G100" i="18"/>
  <c r="M100" i="18" s="1"/>
  <c r="G101" i="18"/>
  <c r="M101" i="18" s="1"/>
  <c r="G102" i="18"/>
  <c r="M102" i="18" s="1"/>
  <c r="G103" i="18"/>
  <c r="M103" i="18" s="1"/>
  <c r="G104" i="18"/>
  <c r="M104" i="18" s="1"/>
  <c r="G105" i="18"/>
  <c r="M105" i="18" s="1"/>
  <c r="G106" i="18"/>
  <c r="M106" i="18" s="1"/>
  <c r="G107" i="18"/>
  <c r="M107" i="18" s="1"/>
  <c r="G108" i="18"/>
  <c r="M108" i="18" s="1"/>
  <c r="G110" i="18"/>
  <c r="G112" i="18"/>
  <c r="G114" i="18"/>
  <c r="I114" i="18" s="1"/>
  <c r="G115" i="18"/>
  <c r="M115" i="18" s="1"/>
  <c r="G116" i="18"/>
  <c r="M116" i="18" s="1"/>
  <c r="G118" i="18"/>
  <c r="M118" i="18" s="1"/>
  <c r="G119" i="18"/>
  <c r="G121" i="18"/>
  <c r="I121" i="18" s="1"/>
  <c r="G122" i="18"/>
  <c r="G125" i="18"/>
  <c r="M125" i="18" s="1"/>
  <c r="G126" i="18"/>
  <c r="M126" i="18" s="1"/>
  <c r="G129" i="18"/>
  <c r="I129" i="18" s="1"/>
  <c r="G130" i="18"/>
  <c r="G131" i="18"/>
  <c r="M131" i="18" s="1"/>
  <c r="G132" i="18"/>
  <c r="G133" i="18"/>
  <c r="I133" i="18" s="1"/>
  <c r="G134" i="18"/>
  <c r="G135" i="18"/>
  <c r="G136" i="18"/>
  <c r="I136" i="18" s="1"/>
  <c r="G137" i="18"/>
  <c r="I137" i="18" s="1"/>
  <c r="G138" i="18"/>
  <c r="G142" i="18"/>
  <c r="M142" i="18" s="1"/>
  <c r="G143" i="18"/>
  <c r="G144" i="18"/>
  <c r="I144" i="18" s="1"/>
  <c r="G145" i="18"/>
  <c r="G146" i="18"/>
  <c r="G148" i="18"/>
  <c r="M148" i="18" s="1"/>
  <c r="G149" i="18"/>
  <c r="M149" i="18" s="1"/>
  <c r="G151" i="18"/>
  <c r="M151" i="18" s="1"/>
  <c r="G153" i="18"/>
  <c r="M153" i="18" s="1"/>
  <c r="G154" i="18"/>
  <c r="G158" i="18"/>
  <c r="I158" i="18" s="1"/>
  <c r="I157" i="18" s="1"/>
  <c r="I156" i="18" s="1"/>
  <c r="G160" i="18"/>
  <c r="H8" i="18"/>
  <c r="N8" i="18" s="1"/>
  <c r="G8" i="18"/>
  <c r="I8" i="18" s="1"/>
  <c r="I7" i="18" s="1"/>
  <c r="I154" i="18" l="1"/>
  <c r="I132" i="18"/>
  <c r="I119" i="18"/>
  <c r="I98" i="18"/>
  <c r="I90" i="18"/>
  <c r="I82" i="18"/>
  <c r="I74" i="18"/>
  <c r="I61" i="18"/>
  <c r="I52" i="18"/>
  <c r="I42" i="18"/>
  <c r="I28" i="18"/>
  <c r="I27" i="18" s="1"/>
  <c r="I14" i="18"/>
  <c r="I143" i="18"/>
  <c r="I146" i="18"/>
  <c r="I65" i="18"/>
  <c r="I64" i="18" s="1"/>
  <c r="I56" i="18"/>
  <c r="I34" i="18"/>
  <c r="I33" i="18" s="1"/>
  <c r="I138" i="18"/>
  <c r="I130" i="18"/>
  <c r="I50" i="18"/>
  <c r="N161" i="18"/>
  <c r="I166" i="18" s="1"/>
  <c r="I135" i="18"/>
  <c r="I112" i="18"/>
  <c r="I111" i="18" s="1"/>
  <c r="C16" i="36" s="1"/>
  <c r="D16" i="36" s="1"/>
  <c r="C15" i="60" s="1"/>
  <c r="I47" i="18"/>
  <c r="I160" i="18"/>
  <c r="I159" i="18" s="1"/>
  <c r="I155" i="18" s="1"/>
  <c r="I145" i="18"/>
  <c r="I134" i="18"/>
  <c r="I122" i="18"/>
  <c r="I120" i="18" s="1"/>
  <c r="I110" i="18"/>
  <c r="I109" i="18" s="1"/>
  <c r="C15" i="36" s="1"/>
  <c r="D15" i="36" s="1"/>
  <c r="C14" i="60" s="1"/>
  <c r="I63" i="18"/>
  <c r="I54" i="18"/>
  <c r="I46" i="18"/>
  <c r="I32" i="18"/>
  <c r="I31" i="18" s="1"/>
  <c r="I18" i="18"/>
  <c r="I153" i="18"/>
  <c r="I142" i="18"/>
  <c r="I131" i="18"/>
  <c r="I118" i="18"/>
  <c r="I106" i="18"/>
  <c r="I97" i="18"/>
  <c r="I89" i="18"/>
  <c r="I81" i="18"/>
  <c r="I73" i="18"/>
  <c r="I60" i="18"/>
  <c r="I51" i="18"/>
  <c r="I41" i="18"/>
  <c r="I26" i="18"/>
  <c r="I13" i="18"/>
  <c r="I12" i="18" s="1"/>
  <c r="M154" i="18"/>
  <c r="M146" i="18"/>
  <c r="M138" i="18"/>
  <c r="M130" i="18"/>
  <c r="M122" i="18"/>
  <c r="M114" i="18"/>
  <c r="M98" i="18"/>
  <c r="M90" i="18"/>
  <c r="M82" i="18"/>
  <c r="M74" i="18"/>
  <c r="M58" i="18"/>
  <c r="M50" i="18"/>
  <c r="M42" i="18"/>
  <c r="M34" i="18"/>
  <c r="M18" i="18"/>
  <c r="M10" i="18"/>
  <c r="I151" i="18"/>
  <c r="I150" i="18" s="1"/>
  <c r="I116" i="18"/>
  <c r="I105" i="18"/>
  <c r="I96" i="18"/>
  <c r="I88" i="18"/>
  <c r="I80" i="18"/>
  <c r="I70" i="18"/>
  <c r="I59" i="18"/>
  <c r="I39" i="18"/>
  <c r="I25" i="18"/>
  <c r="I11" i="18"/>
  <c r="I9" i="18" s="1"/>
  <c r="M8" i="18"/>
  <c r="M145" i="18"/>
  <c r="M137" i="18"/>
  <c r="M129" i="18"/>
  <c r="M121" i="18"/>
  <c r="M65" i="18"/>
  <c r="M57" i="18"/>
  <c r="M49" i="18"/>
  <c r="M17" i="18"/>
  <c r="I149" i="18"/>
  <c r="I115" i="18"/>
  <c r="I104" i="18"/>
  <c r="I95" i="18"/>
  <c r="I87" i="18"/>
  <c r="I79" i="18"/>
  <c r="I69" i="18"/>
  <c r="I38" i="18"/>
  <c r="I23" i="18"/>
  <c r="I22" i="18" s="1"/>
  <c r="C14" i="36" s="1"/>
  <c r="D14" i="36" s="1"/>
  <c r="M160" i="18"/>
  <c r="M144" i="18"/>
  <c r="M136" i="18"/>
  <c r="M112" i="18"/>
  <c r="M56" i="18"/>
  <c r="M48" i="18"/>
  <c r="M32" i="18"/>
  <c r="I148" i="18"/>
  <c r="I126" i="18"/>
  <c r="I103" i="18"/>
  <c r="I94" i="18"/>
  <c r="I86" i="18"/>
  <c r="I78" i="18"/>
  <c r="I68" i="18"/>
  <c r="I37" i="18"/>
  <c r="I21" i="18"/>
  <c r="I20" i="18" s="1"/>
  <c r="M143" i="18"/>
  <c r="M135" i="18"/>
  <c r="M119" i="18"/>
  <c r="M63" i="18"/>
  <c r="M47" i="18"/>
  <c r="I125" i="18"/>
  <c r="I102" i="18"/>
  <c r="I93" i="18"/>
  <c r="I85" i="18"/>
  <c r="I77" i="18"/>
  <c r="I19" i="18"/>
  <c r="M158" i="18"/>
  <c r="M134" i="18"/>
  <c r="M110" i="18"/>
  <c r="M62" i="18"/>
  <c r="M54" i="18"/>
  <c r="M46" i="18"/>
  <c r="M14" i="18"/>
  <c r="I101" i="18"/>
  <c r="I92" i="18"/>
  <c r="I84" i="18"/>
  <c r="I76" i="18"/>
  <c r="M133" i="18"/>
  <c r="M61" i="18"/>
  <c r="M53" i="18"/>
  <c r="M45" i="18"/>
  <c r="M29" i="18"/>
  <c r="I108" i="18"/>
  <c r="I100" i="18"/>
  <c r="I91" i="18"/>
  <c r="I83" i="18"/>
  <c r="I75" i="18"/>
  <c r="M132" i="18"/>
  <c r="M52" i="18"/>
  <c r="M28" i="18"/>
  <c r="I107" i="18"/>
  <c r="I40" i="18" l="1"/>
  <c r="I117" i="18"/>
  <c r="C20" i="36" s="1"/>
  <c r="D20" i="36" s="1"/>
  <c r="B33" i="42" s="1"/>
  <c r="I34" i="42" s="1"/>
  <c r="I152" i="18"/>
  <c r="I147" i="18"/>
  <c r="B25" i="42"/>
  <c r="I26" i="42" s="1"/>
  <c r="I128" i="18"/>
  <c r="I127" i="18" s="1"/>
  <c r="I36" i="18"/>
  <c r="I141" i="18"/>
  <c r="B23" i="42"/>
  <c r="E24" i="42" s="1"/>
  <c r="I16" i="18"/>
  <c r="C7" i="36" s="1"/>
  <c r="I24" i="18"/>
  <c r="C18" i="36" s="1"/>
  <c r="D18" i="36" s="1"/>
  <c r="B29" i="42" s="1"/>
  <c r="I55" i="18"/>
  <c r="C8" i="36"/>
  <c r="D8" i="36" s="1"/>
  <c r="C7" i="60" s="1"/>
  <c r="I44" i="18"/>
  <c r="I113" i="18"/>
  <c r="C17" i="36" s="1"/>
  <c r="D17" i="36" s="1"/>
  <c r="C16" i="60" s="1"/>
  <c r="I124" i="18"/>
  <c r="I67" i="18"/>
  <c r="I66" i="18" s="1"/>
  <c r="C11" i="36" s="1"/>
  <c r="D11" i="36" s="1"/>
  <c r="C10" i="60" s="1"/>
  <c r="C21" i="36"/>
  <c r="D21" i="36" s="1"/>
  <c r="B35" i="42" s="1"/>
  <c r="I36" i="42" s="1"/>
  <c r="C19" i="36"/>
  <c r="D19" i="36" s="1"/>
  <c r="I6" i="18"/>
  <c r="D7" i="14" s="1"/>
  <c r="I99" i="18"/>
  <c r="D12" i="14"/>
  <c r="E12" i="14" s="1"/>
  <c r="I72" i="18"/>
  <c r="C13" i="60"/>
  <c r="B21" i="42"/>
  <c r="M161" i="18"/>
  <c r="I165" i="18" s="1"/>
  <c r="I35" i="18" l="1"/>
  <c r="C9" i="36" s="1"/>
  <c r="D9" i="36" s="1"/>
  <c r="I140" i="18"/>
  <c r="I139" i="18" s="1"/>
  <c r="D11" i="14" s="1"/>
  <c r="E11" i="14" s="1"/>
  <c r="C19" i="60"/>
  <c r="I15" i="18"/>
  <c r="D8" i="14" s="1"/>
  <c r="E8" i="14" s="1"/>
  <c r="G26" i="42"/>
  <c r="G24" i="42"/>
  <c r="B9" i="42"/>
  <c r="I10" i="42" s="1"/>
  <c r="C17" i="60"/>
  <c r="I123" i="18"/>
  <c r="D10" i="14" s="1"/>
  <c r="E10" i="14" s="1"/>
  <c r="C20" i="60"/>
  <c r="I43" i="18"/>
  <c r="C10" i="36" s="1"/>
  <c r="D10" i="36" s="1"/>
  <c r="C9" i="60" s="1"/>
  <c r="B27" i="42"/>
  <c r="I28" i="42" s="1"/>
  <c r="B15" i="42"/>
  <c r="E16" i="42" s="1"/>
  <c r="E7" i="14"/>
  <c r="G22" i="42"/>
  <c r="E22" i="42"/>
  <c r="C18" i="60"/>
  <c r="B31" i="42"/>
  <c r="D7" i="36"/>
  <c r="I30" i="42"/>
  <c r="G30" i="42"/>
  <c r="I71" i="18"/>
  <c r="C12" i="36" s="1"/>
  <c r="D12" i="36" s="1"/>
  <c r="C13" i="36" l="1"/>
  <c r="D13" i="36" s="1"/>
  <c r="B19" i="42" s="1"/>
  <c r="E10" i="42"/>
  <c r="G16" i="42"/>
  <c r="G10" i="42"/>
  <c r="B13" i="42"/>
  <c r="E14" i="42" s="1"/>
  <c r="I30" i="18"/>
  <c r="C8" i="60"/>
  <c r="B11" i="42"/>
  <c r="E12" i="42" s="1"/>
  <c r="I32" i="42"/>
  <c r="I38" i="42" s="1"/>
  <c r="G32" i="42"/>
  <c r="E32" i="42"/>
  <c r="C11" i="60"/>
  <c r="B17" i="42"/>
  <c r="B7" i="42"/>
  <c r="C6" i="60"/>
  <c r="D22" i="36" l="1"/>
  <c r="C22" i="36"/>
  <c r="C12" i="60"/>
  <c r="C21" i="60" s="1"/>
  <c r="B6" i="42"/>
  <c r="B37" i="42"/>
  <c r="E8" i="42"/>
  <c r="G20" i="42"/>
  <c r="E20" i="42"/>
  <c r="G18" i="42"/>
  <c r="G38" i="42" s="1"/>
  <c r="E18" i="42"/>
  <c r="D9" i="14"/>
  <c r="I161" i="18"/>
  <c r="E38" i="42" l="1"/>
  <c r="E40" i="42" s="1"/>
  <c r="G40" i="42" s="1"/>
  <c r="I40" i="42" s="1"/>
  <c r="I162" i="18"/>
  <c r="I163" i="18" s="1"/>
  <c r="E9" i="14"/>
  <c r="D13" i="14"/>
  <c r="E13" i="14" s="1"/>
  <c r="I164" i="18" l="1"/>
</calcChain>
</file>

<file path=xl/sharedStrings.xml><?xml version="1.0" encoding="utf-8"?>
<sst xmlns="http://schemas.openxmlformats.org/spreadsheetml/2006/main" count="807" uniqueCount="399">
  <si>
    <t>ITEM</t>
  </si>
  <si>
    <t>DESCRIÇÃO DOS SERVIÇOS</t>
  </si>
  <si>
    <t>QUANTIDADE</t>
  </si>
  <si>
    <t>PREÇO SEM BDI</t>
  </si>
  <si>
    <t>PREÇO COM BDI</t>
  </si>
  <si>
    <t>PARTICIP. (%)</t>
  </si>
  <si>
    <t>COBERTURA DE QUADRA PADRÃO FNDE</t>
  </si>
  <si>
    <t>IMPLANTAÇÃO COBERTURA DE QUADRA PADRÃO FNDE</t>
  </si>
  <si>
    <t>COBERTURA QUADRA GRANDE PADRÃO FNDE</t>
  </si>
  <si>
    <t>PROJETO INST. ELÉTRICAS</t>
  </si>
  <si>
    <t>PROJETO INST. HIDROSSANITÁRIAS</t>
  </si>
  <si>
    <t>PROJETO ESTRUTURAL</t>
  </si>
  <si>
    <t>TOTAL GERAL DO ORÇAMENTO (R$)</t>
  </si>
  <si>
    <t>RESUMO GERAL DO ORÇAMENTO</t>
  </si>
  <si>
    <t>TABELA</t>
  </si>
  <si>
    <t>CODIGO</t>
  </si>
  <si>
    <t>UNID</t>
  </si>
  <si>
    <t>QUANT</t>
  </si>
  <si>
    <t>MAT</t>
  </si>
  <si>
    <t>MO</t>
  </si>
  <si>
    <t>UN</t>
  </si>
  <si>
    <t>1.1.</t>
  </si>
  <si>
    <t>SERVIÇOS PRELIMINARES</t>
  </si>
  <si>
    <t>1.1.0.1.</t>
  </si>
  <si>
    <t>GOINFRA</t>
  </si>
  <si>
    <t>PLACA DE OBRA PLOTADA EM CHAPA METÁLICA 26 , AFIXADA EM CAVALETES DE MADEIRA DE LEI (VIGOTAS 6X12CM) - PADRÃO GOINFRA</t>
  </si>
  <si>
    <t>M2</t>
  </si>
  <si>
    <t>1.2.</t>
  </si>
  <si>
    <t>ADMINISTRAÇÃO</t>
  </si>
  <si>
    <t>1.2.0.1.</t>
  </si>
  <si>
    <t>ENGENHEIRO - (OBRAS CIVIS)</t>
  </si>
  <si>
    <t>H</t>
  </si>
  <si>
    <t>1.2.0.2.</t>
  </si>
  <si>
    <t>ENCARREGADO - (OBRAS CIVIS)</t>
  </si>
  <si>
    <t>1.3.</t>
  </si>
  <si>
    <t>DIVERSOS</t>
  </si>
  <si>
    <t>1.3.0.1.</t>
  </si>
  <si>
    <t>PLACA DE INAUGURAÇÃO AÇO ESCOVADO 60 X 120 CM</t>
  </si>
  <si>
    <t>1.3.0.2.</t>
  </si>
  <si>
    <t>LIMPEZA FINAL DE OBRA - (OBRAS CIVIS)</t>
  </si>
  <si>
    <t>2.1.</t>
  </si>
  <si>
    <t>2.1.0.1.</t>
  </si>
  <si>
    <t>DEMOLIÇÃO MANUAL ALVENARIA TIJOLO S/REAP. C/TR.ATE CB. E CARGA</t>
  </si>
  <si>
    <t>M3</t>
  </si>
  <si>
    <t>2.1.0.2.</t>
  </si>
  <si>
    <t>DEMOLIÇÃO MANUAL EM CONCRETO SIMPLES C/TR.ATE CB.E CARGA (O.C.)</t>
  </si>
  <si>
    <t>2.1.0.3.</t>
  </si>
  <si>
    <t>POSTE/TRAFO - CAMINHÃO MUNCK 12 TON. (MÍNIMO 4H/DIA)</t>
  </si>
  <si>
    <t>2.2.</t>
  </si>
  <si>
    <t>TRANSPORTES</t>
  </si>
  <si>
    <t>2.2.0.1.</t>
  </si>
  <si>
    <t>TRANSPORTE DE ENTULHO EM CAMINHÃO  INCLUSO A CARGA MANUAL</t>
  </si>
  <si>
    <t>2.3.</t>
  </si>
  <si>
    <t>ALVENARIAS E DIVISÓRIAS</t>
  </si>
  <si>
    <t>2.3.0.1.</t>
  </si>
  <si>
    <t>ALVENARIA DE TIJOLO FURADO 1/2 VEZ 14X29X9 - 6 FUROS -  ARG. (1CALH:4ARML+100KG DE CI/M3)</t>
  </si>
  <si>
    <t>2.4.</t>
  </si>
  <si>
    <t>REVESTIMENTO DE PAREDE</t>
  </si>
  <si>
    <t>2.4.0.1.</t>
  </si>
  <si>
    <t>CHAPISCO ROLADO ( 1CIM:3 ARML)+(1 COLA:10 CIM)</t>
  </si>
  <si>
    <t>2.4.0.2.</t>
  </si>
  <si>
    <t>REBOCO (1 CALH:4 ARFC+100kgCI/M3)</t>
  </si>
  <si>
    <t>2.5.</t>
  </si>
  <si>
    <t>PINTURA</t>
  </si>
  <si>
    <t>2.5.0.1.</t>
  </si>
  <si>
    <t>PINTURA LATEX ACRILICA 2 DEMAOS C/SELADOR</t>
  </si>
  <si>
    <t>2.5.0.2.</t>
  </si>
  <si>
    <t>PINT.ESMALTE/ESQUAD.FERRO C/FUNDO ANTICOR.</t>
  </si>
  <si>
    <t>3.1.</t>
  </si>
  <si>
    <t>3.1.0.1.</t>
  </si>
  <si>
    <t>LOCAÇÃO DA OBRA, EXECUÇÃO DE GABARITO SEM REAPROVEITAMENTO, INCLUSO PINTURA (FACE INTERNA DO RIPÃO 15CM) E PIQUETE COM TESTEMUNHA</t>
  </si>
  <si>
    <t>3.2.</t>
  </si>
  <si>
    <t>3.2.0.1.</t>
  </si>
  <si>
    <t>3.3.</t>
  </si>
  <si>
    <t>SERVIÇO EM TERRA</t>
  </si>
  <si>
    <t>3.3.1.</t>
  </si>
  <si>
    <t>MOVIMENTAÇÃO DE TERRA PARA FUNDAÇÕES</t>
  </si>
  <si>
    <t>3.3.1.1.</t>
  </si>
  <si>
    <t>ESCAVACAO MANUAL DE VALAS (SAPATAS/BLOCOS)</t>
  </si>
  <si>
    <t>3.3.1.2.</t>
  </si>
  <si>
    <t>APILOAMENTO (BLOCOS/SAPATAS)</t>
  </si>
  <si>
    <t>3.3.1.3.</t>
  </si>
  <si>
    <t>REATERRO COM APILOAMENTO</t>
  </si>
  <si>
    <t>3.3.2.</t>
  </si>
  <si>
    <t>MOVIMENTAÇÃO DE TERRA PARA INSTALAÇÕES ELÉTRICAS</t>
  </si>
  <si>
    <t>3.3.2.1.</t>
  </si>
  <si>
    <t>ESCAVACAO MANUAL DE VALAS &lt; 1 MTS. (OBRAS CIVIS)</t>
  </si>
  <si>
    <t>3.3.2.2.</t>
  </si>
  <si>
    <t>3.4.</t>
  </si>
  <si>
    <t>FUNDAÇÕES E SONDAGENS</t>
  </si>
  <si>
    <t>3.4.1.</t>
  </si>
  <si>
    <t>ESTACAS E BLOCOS</t>
  </si>
  <si>
    <t>3.4.1.1.</t>
  </si>
  <si>
    <t>ESTACA A TRADO DIAM.30 CM SEM FERRO</t>
  </si>
  <si>
    <t>M</t>
  </si>
  <si>
    <t>3.4.1.2.</t>
  </si>
  <si>
    <t>3.4.1.3.</t>
  </si>
  <si>
    <t>3.4.1.4.</t>
  </si>
  <si>
    <t>PREPARO COM BETONEIRA E TRANSPORTE MANUAL DE CONCRETO FCK=25 MPA</t>
  </si>
  <si>
    <t>3.4.1.5.</t>
  </si>
  <si>
    <t>LANÇAMENTO/APLICAÇÃO/ADENSAMENTO MANUAL DE CONCRETO - (O.C.)</t>
  </si>
  <si>
    <t>3.4.1.6.</t>
  </si>
  <si>
    <t>SINAPI</t>
  </si>
  <si>
    <t>CONCRETO MAGRO PARA LASTRO, TRAÇO 1:4,5:4,5 (EM MASSA SECA DE CIMENTO/ AREIA MÉDIA/ BRITA 1) - PREPARO MANUAL. AF_05/2021</t>
  </si>
  <si>
    <t>3.4.1.7.</t>
  </si>
  <si>
    <t>ACO CA 50-A - 8,0 MM (5/16") - (OBRAS CIVIS)</t>
  </si>
  <si>
    <t>KG</t>
  </si>
  <si>
    <t>3.4.1.8.</t>
  </si>
  <si>
    <t>ACO CA-50A - 10,0 MM (3/8") - (OBRAS CIVIS)</t>
  </si>
  <si>
    <t>3.4.1.9.</t>
  </si>
  <si>
    <t>ACO CA-50 A - 20,0 MM (3/4") - (OBRAS CIVIS)</t>
  </si>
  <si>
    <t>3.4.1.10.</t>
  </si>
  <si>
    <t>ACO CA-60 - 5,0 MM - (OBRAS CIVIS)</t>
  </si>
  <si>
    <t>3.4.2.</t>
  </si>
  <si>
    <t>VIGAS BALDRAMES</t>
  </si>
  <si>
    <t>3.4.2.1.</t>
  </si>
  <si>
    <t>3.4.2.2.</t>
  </si>
  <si>
    <t>3.4.2.3.</t>
  </si>
  <si>
    <t>FORMA DE TABUA CINTA BALDRAME U=8 VEZES</t>
  </si>
  <si>
    <t>3.4.2.4.</t>
  </si>
  <si>
    <t>3.4.2.5.</t>
  </si>
  <si>
    <t>3.4.2.6.</t>
  </si>
  <si>
    <t>3.4.2.7.</t>
  </si>
  <si>
    <t>3.4.2.8.</t>
  </si>
  <si>
    <t>3.4.3.</t>
  </si>
  <si>
    <t>OUTROS</t>
  </si>
  <si>
    <t>3.4.3.1.</t>
  </si>
  <si>
    <t>SONDAGENS P/INTERIOR - (OBRAS CIVIS)</t>
  </si>
  <si>
    <t>3.5.</t>
  </si>
  <si>
    <t>ESTRUTURA</t>
  </si>
  <si>
    <t>3.5.1.</t>
  </si>
  <si>
    <t>PILARES</t>
  </si>
  <si>
    <t>3.5.1.1.</t>
  </si>
  <si>
    <t>FORMA - CH.COMPENSADA 17MM PLAST REAP 4 V.-(OBRAS CIVIS)</t>
  </si>
  <si>
    <t>3.5.1.2.</t>
  </si>
  <si>
    <t>3.5.1.3.</t>
  </si>
  <si>
    <t>LANÇAMENTO/APLICAÇÃO/ADENSAMENTO MANUAL DE CONCRETO - (OBRAS CIVIS)</t>
  </si>
  <si>
    <t>3.6.</t>
  </si>
  <si>
    <t>INSTALAÇÕES ELÉTRICAS</t>
  </si>
  <si>
    <t>3.6.1.</t>
  </si>
  <si>
    <t>INSTALAÇÕES ELÉTRICAS - 220V</t>
  </si>
  <si>
    <t>3.6.1.1.</t>
  </si>
  <si>
    <t>BRACADEIRA METALICA TIPO "U" DIAM. 1"</t>
  </si>
  <si>
    <t>3.6.1.2.</t>
  </si>
  <si>
    <t>BRACADEIRA METALICA TIPO "U" DIAM. 1.1/2"</t>
  </si>
  <si>
    <t>3.6.1.3.</t>
  </si>
  <si>
    <t>3.6.1.4.</t>
  </si>
  <si>
    <t>BUCHA E ARRUELA METALICA DIAM. 1"</t>
  </si>
  <si>
    <t>PR</t>
  </si>
  <si>
    <t>3.6.1.5.</t>
  </si>
  <si>
    <t>BUCHA E ARRUELA METALICA DIAM. 1.1/2"</t>
  </si>
  <si>
    <t>3.6.1.6.</t>
  </si>
  <si>
    <t>CABO PVC (70ºC) 1 KV No. 2,5 MM2</t>
  </si>
  <si>
    <t>3.6.1.7.</t>
  </si>
  <si>
    <t>CABO PVC (70ºC) 1 KV No. 4 MM2</t>
  </si>
  <si>
    <t>3.6.1.8.</t>
  </si>
  <si>
    <t>CABO ISOLADO PVC 750 V. No. 6 MM2</t>
  </si>
  <si>
    <t>3.6.1.9.</t>
  </si>
  <si>
    <t>CONDULETE DE ALUMÍNIO, TIPO T, PARA ELETRODUTO DE AÇO GALVANIZADO DN 25 MM (1''), APARENTE - FORNECIMENTO E INSTALAÇÃO. AF_11/2016_P</t>
  </si>
  <si>
    <t>3.6.1.10.</t>
  </si>
  <si>
    <t>CAIXA ENTERRADA ELÉTRICA RETANGULAR, EM ALVENARIA COM BLOCOS DE CONCRETO, FUNDO COM BRITA, DIMENSÕES INTERNAS: 0,4X0,4X0,4 M. AF_12/2020</t>
  </si>
  <si>
    <t>3.6.1.11.</t>
  </si>
  <si>
    <t>DISJUNTOR MONOPOLAR TIPO DIN, CORRENTE NOMINAL DE 16A - FORNECIMENTO E INSTALAÇÃO. AF_10/2020</t>
  </si>
  <si>
    <t>3.6.1.12.</t>
  </si>
  <si>
    <t>DISJUNTOR MONOPOLAR TIPO DIN, CORRENTE NOMINAL DE 20A - FORNECIMENTO E INSTALAÇÃO. AF_10/2020</t>
  </si>
  <si>
    <t>3.6.1.13.</t>
  </si>
  <si>
    <t>DISJUNTOR TRIPOLAR DE 10 A 35-A</t>
  </si>
  <si>
    <t>3.6.1.14.</t>
  </si>
  <si>
    <t>DISPOSITIVO DE PROTEÇÃO CONTRA SURTOS (D.P.S.) 275V DE 8 A 40KA</t>
  </si>
  <si>
    <t>3.6.1.15.</t>
  </si>
  <si>
    <t>INTERRUPTOR DIFERENCIAL RESIDUAL (D.R.) BIPOLAR DE 25A-30mA</t>
  </si>
  <si>
    <t>3.6.1.16.</t>
  </si>
  <si>
    <t>3.6.1.17.</t>
  </si>
  <si>
    <t>ELETRODUTO DE AÇO GALVANIZADO, CLASSE SEMI PESADO, DN 40 MM (1 1/2 ), APARENTE, INSTALADO EM TETO - FORNECIMENTO E INSTALAÇÃO. AF_11/2016_P</t>
  </si>
  <si>
    <t>3.6.1.18.</t>
  </si>
  <si>
    <t>FITA DE AUTO FUSAO, ROLO E 10,00 MM</t>
  </si>
  <si>
    <t>3.6.1.19.</t>
  </si>
  <si>
    <t>FITA ISOLANTE, ROLO DE 20,00 M</t>
  </si>
  <si>
    <t>3.6.1.20.</t>
  </si>
  <si>
    <t>LUMINÁRIA CIRCULAR COM VIDRO PARA QUADRA ATÉ 400 W - BASE E-40</t>
  </si>
  <si>
    <t>3.6.1.21.</t>
  </si>
  <si>
    <t>LAMPADA A VAPOR MERCURIO 400 W</t>
  </si>
  <si>
    <t>3.6.1.22.</t>
  </si>
  <si>
    <t>REATOR PARA LÂMPADA VAPOR DE MERCÚRIO 400 W, USO EXTERNO - FORNECIMENTO E INSTALAÇÃO. AF_08/2020</t>
  </si>
  <si>
    <t>3.6.1.23.</t>
  </si>
  <si>
    <t>LUVA DE EMENDA PARA ELETRODUTO, AÇO GALVANIZADO, DN 25 MM (1''), APARENTE, INSTALADA EM TETO - FORNECIMENTO E INSTALAÇÃO. AF_11/2016_P</t>
  </si>
  <si>
    <t>3.6.1.24.</t>
  </si>
  <si>
    <t>LUVA DE EMENDA PARA ELETRODUTO, AÇO GALVANIZADO, DN 40 MM (1 1/2''), APARENTE, INSTALADA EM TETO - FORNECIMENTO E INSTALAÇÃO. AF_11/2016_P</t>
  </si>
  <si>
    <t>3.6.1.25.</t>
  </si>
  <si>
    <t>QUADRO DE DISTRIBUIÇÃO DE ENERGIA EM CHAPA DE AÇO GALVANIZADO, DE EMBUTIR, COM BARRAMENTO TRIFÁSICO, PARA 12 DISJUNTORES DIN 100A - FORNECIMENTO E INSTALAÇÃO. AF_10/2020</t>
  </si>
  <si>
    <t>3.6.1.26.</t>
  </si>
  <si>
    <t>TOMADA HEXAGONAL 2P + T - 20A - 250V</t>
  </si>
  <si>
    <t>3.6.2.</t>
  </si>
  <si>
    <t>SISTEMA DE PROTEÇÃO CONTRA DESCARGAS ATMOSFÉRICAS - SPDA</t>
  </si>
  <si>
    <t>3.6.2.1.</t>
  </si>
  <si>
    <t>CAIXA DE INSPEÇÃO PARA ATERRAMENTO, CIRCULAR, EM POLIETILENO, DIÂMETRO INTERNO = 0,3 M. AF_12/2020</t>
  </si>
  <si>
    <t>3.6.2.2.</t>
  </si>
  <si>
    <t>CORDOALHA DE COBRE NU 35 MM², NÃO ENTERRADA, COM ISOLADOR - FORNECIMENTO E INSTALAÇÃO. AF_12/2017</t>
  </si>
  <si>
    <t>3.6.2.3.</t>
  </si>
  <si>
    <t>CORDOALHA DE COBRE NU 50 MM², NÃO ENTERRADA, COM ISOLADOR - FORNECIMENTO E INSTALAÇÃO. AF_12/2017</t>
  </si>
  <si>
    <t>3.6.2.4.</t>
  </si>
  <si>
    <t>HASTE DE ATERRAMENTO 3/4  PARA SPDA - FORNECIMENTO E INSTALAÇÃO. AF_12/2017</t>
  </si>
  <si>
    <t>3.6.2.5.</t>
  </si>
  <si>
    <t>ATERRAMENTO - SOLDA EXOTÉRMICA - CARTUCHO 90 G</t>
  </si>
  <si>
    <t>3.6.2.6.</t>
  </si>
  <si>
    <t>3.6.2.7.</t>
  </si>
  <si>
    <t>ELETRODUTO DE PVC RIGIDO DIAMETRO 1"</t>
  </si>
  <si>
    <t>3.6.2.8.</t>
  </si>
  <si>
    <t>LUVA PVC ROSQUEAVEL DIAMETRO 1"</t>
  </si>
  <si>
    <t>3.6.2.9.</t>
  </si>
  <si>
    <t>TERMINAL DE PRESSAO 35 MM2</t>
  </si>
  <si>
    <t>3.7.</t>
  </si>
  <si>
    <t>IMPERMEABILIZAÇÃO</t>
  </si>
  <si>
    <t>3.7.0.1.</t>
  </si>
  <si>
    <t>IMPERMEABILIZACAO VIGAS BALDRAMES E=2,0 CM</t>
  </si>
  <si>
    <t>3.8.</t>
  </si>
  <si>
    <t>ESTRUTURAS METÁLICAS</t>
  </si>
  <si>
    <t>3.8.0.1.</t>
  </si>
  <si>
    <t>ESTRUTURA TRELIÇADA DE COBERTURA, TIPO ARCO, COM LIGAÇÕES SOLDADAS, INCLUSOS PERFIS METÁLICOS, CHAPAS METÁLICAS, MÃO DE OBRA E TRANSPORTE COM GUINDASTE - FORNECIMENTO E INSTALAÇÃO. AF_01/2020_P</t>
  </si>
  <si>
    <t>3.9.</t>
  </si>
  <si>
    <t>COBERTURAS</t>
  </si>
  <si>
    <t>3.9.0.1.</t>
  </si>
  <si>
    <t>COBERTURA COM TELHA GALVANIZADA ONDULADA 0,5 MM COM ACESSÓRIOS</t>
  </si>
  <si>
    <t>3.9.0.2.</t>
  </si>
  <si>
    <t>FECHAMENTO LATERAL COM TELHA METÁLICA COM PINTURA ELETROSTÁTICA 0,50 MM COM ACESSÓRIOS</t>
  </si>
  <si>
    <t>3.9.0.3.</t>
  </si>
  <si>
    <t>COBERTURA COM TELHA FIBERGLASS COM VÉU PROTEÇÃO 1MM COM ACESSÓRIOS</t>
  </si>
  <si>
    <t>3.10.</t>
  </si>
  <si>
    <t>3.10.0.1.</t>
  </si>
  <si>
    <t>EMASSAMENTO EPOXI 2 DEMÃOS</t>
  </si>
  <si>
    <t>3.10.0.2.</t>
  </si>
  <si>
    <t>PINTURA ESMALTE ALQUIDICO ESTR.METALICA 2 DEMAOS</t>
  </si>
  <si>
    <t>3.11.</t>
  </si>
  <si>
    <t>3.11.0.1.</t>
  </si>
  <si>
    <t>3.11.0.2.</t>
  </si>
  <si>
    <t>4.1.</t>
  </si>
  <si>
    <t>4.1.0.1.</t>
  </si>
  <si>
    <t>4.1.0.2.</t>
  </si>
  <si>
    <t>4.2.</t>
  </si>
  <si>
    <t>4.2.1.</t>
  </si>
  <si>
    <t>IMPLANTAÇÃO</t>
  </si>
  <si>
    <t>4.2.1.1.</t>
  </si>
  <si>
    <t>CABO PVC (70ºC) 1 KV No. 6 MM2</t>
  </si>
  <si>
    <t>4.2.1.2.</t>
  </si>
  <si>
    <t>ELETRODUTO FLEXÍVEL CORRUGADO, PEAD, DN 50 (1 1/2"), PARA REDE ENTERRADA DE DISTRIBUIÇÃO DE ENERGIA ELÉTRICA - FORNECIMENTO E INSTALAÇÃO. AF_12/2021</t>
  </si>
  <si>
    <t>4.2.1.3.</t>
  </si>
  <si>
    <t>CAIXA DE PASSAGEM 50X50X80CM FUNDO DE BRITA SEM TAMPA</t>
  </si>
  <si>
    <t>4.2.1.4.</t>
  </si>
  <si>
    <t>TAMPA PARA CAIXA TIPO R1, EM FERRO FUNDIDO, DIMENSÕES INTERNAS: 0,40 X 0,60 M - FORNECIMENTO E INSTALAÇÃO. AF_12/2020</t>
  </si>
  <si>
    <t>4.2.1.5.</t>
  </si>
  <si>
    <t>4.2.1.6.</t>
  </si>
  <si>
    <t>4.2.1.7.</t>
  </si>
  <si>
    <t>PARAFUSO P/BUCHA S-6</t>
  </si>
  <si>
    <t>4.2.1.8.</t>
  </si>
  <si>
    <t>4.2.1.9.</t>
  </si>
  <si>
    <t>4.2.1.10.</t>
  </si>
  <si>
    <t>5.1.</t>
  </si>
  <si>
    <t>INSTALAÇÕES HIDROSSANITÁRIAS</t>
  </si>
  <si>
    <t>5.1.1.</t>
  </si>
  <si>
    <t>PEÇAS E ACESSÓRIOS</t>
  </si>
  <si>
    <t>5.1.1.1.</t>
  </si>
  <si>
    <t>GRELHA PADRÃO GOINFRA DE FERRO CHATO COM BERÇO (ESPAÇAMENTO ENTRE FACES = 1,5CM - NBR 9050 ACESSIBILIDADE)</t>
  </si>
  <si>
    <t>5.1.1.2.</t>
  </si>
  <si>
    <t>CANALETA CONCRETO DESEMPENADO 5 CM PD.GOINFRA</t>
  </si>
  <si>
    <t>5.1.1.3.</t>
  </si>
  <si>
    <t>CAIXA DE AREIA 60X60CM FUNDO DE BRITA COM GRELHA METÁLICA FERRO CHATO PADRÃO GOINFRA</t>
  </si>
  <si>
    <t>5.1.1.4.</t>
  </si>
  <si>
    <t>SOLUCAO LIMPADORA 1000 CM3</t>
  </si>
  <si>
    <t>5.1.1.5.</t>
  </si>
  <si>
    <t>ADESIVO PLASTICO - FRASCO 850 G</t>
  </si>
  <si>
    <t>5.1.2.</t>
  </si>
  <si>
    <t>TUBO ESGOTO</t>
  </si>
  <si>
    <t>5.1.2.1.</t>
  </si>
  <si>
    <t>TUBO SOLDAVEL P/ESGOTO DIAM. 100 MM</t>
  </si>
  <si>
    <t>5.1.2.2.</t>
  </si>
  <si>
    <t>TUBO PVC, SERIE NORMAL, ESGOTO PREDIAL, DN 150 MM, FORNECIDO E INSTALADO EM SUBCOLETOR AÉREO DE ESGOTO SANITÁRIO. AF_12/2014</t>
  </si>
  <si>
    <t>5.1.3.</t>
  </si>
  <si>
    <t>LUVA</t>
  </si>
  <si>
    <t>5.1.3.1.</t>
  </si>
  <si>
    <t>LUVA SIMPLES, PVC, SÉRIE NORMAL, ESGOTO PREDIAL, DN 150 MM, JUNTA ELÁSTICA, FORNECIDO E INSTALADO EM SUBCOLETOR AÉREO DE ESGOTO SANITÁRIO. AF_12/2014</t>
  </si>
  <si>
    <t>5.1.4.</t>
  </si>
  <si>
    <t>TERRA</t>
  </si>
  <si>
    <t>5.1.4.1.</t>
  </si>
  <si>
    <t>5.1.4.2.</t>
  </si>
  <si>
    <r>
      <rPr>
        <sz val="7"/>
        <rFont val="Verdana"/>
        <family val="2"/>
      </rPr>
      <t>ELETRODUTO DE AÇO GALVANIZADO, CLASSE LEVE, DN 25 MM (1 ) , APARENTE, INSTALADO EM TETO - FORNECIMENTO E INSTALAÇÃO. AF_11/2016_P</t>
    </r>
  </si>
  <si>
    <t>6.1.</t>
  </si>
  <si>
    <t>6.1.1.</t>
  </si>
  <si>
    <t>DEMOLIÇÃO DE FUNDAÇÃO EXISTENTE (PROJETO ANTIGO)</t>
  </si>
  <si>
    <t>6.1.1.1.</t>
  </si>
  <si>
    <t>6.2.</t>
  </si>
  <si>
    <t>6.2.0.1.</t>
  </si>
  <si>
    <t xml:space="preserve">QTD </t>
  </si>
  <si>
    <t>UND</t>
  </si>
  <si>
    <t>VL TOTAL</t>
  </si>
  <si>
    <t xml:space="preserve">VALOR TOTAL C/ BDI </t>
  </si>
  <si>
    <t>VALOR DO BDI (21,41%)</t>
  </si>
  <si>
    <t xml:space="preserve">VALOR TOTAL S/ BDI </t>
  </si>
  <si>
    <t>CUSTO POR M²</t>
  </si>
  <si>
    <t xml:space="preserve">MATERIAL S/ BDI </t>
  </si>
  <si>
    <t xml:space="preserve">MÃO DE OBRA S/ BDI </t>
  </si>
  <si>
    <t>SOMATÓRIO DE SERVIÇOS</t>
  </si>
  <si>
    <t>PREÇO SEM BDI (R$)</t>
  </si>
  <si>
    <t>PREÇO COM BDI (R$)</t>
  </si>
  <si>
    <t>PARTIC.  ( % )</t>
  </si>
  <si>
    <t>a.</t>
  </si>
  <si>
    <t>b.</t>
  </si>
  <si>
    <t>c.</t>
  </si>
  <si>
    <t>d.</t>
  </si>
  <si>
    <t>e.</t>
  </si>
  <si>
    <t>f.</t>
  </si>
  <si>
    <t>g.</t>
  </si>
  <si>
    <t>i.</t>
  </si>
  <si>
    <t>k.</t>
  </si>
  <si>
    <t>n.</t>
  </si>
  <si>
    <t>o.</t>
  </si>
  <si>
    <t>s.</t>
  </si>
  <si>
    <t>x.</t>
  </si>
  <si>
    <t>y.</t>
  </si>
  <si>
    <t>z.</t>
  </si>
  <si>
    <t>TOTAL GERAL DO ORÇAMENTO</t>
  </si>
  <si>
    <t>(*) Para itens da AGETOP, os vidros não estão inclusos nas esquadrias e já foram considerados os custos de contramarco para as esquadrias de alumínio;</t>
  </si>
  <si>
    <t>CRONOGRAMA FÍSICO-FINANCEIRO</t>
  </si>
  <si>
    <t>R$</t>
  </si>
  <si>
    <t>Parcelas:</t>
  </si>
  <si>
    <t>Dias:</t>
  </si>
  <si>
    <t>% Período</t>
  </si>
  <si>
    <t>INST.ELET/TELEFÔNICA/CABEAMENTO E</t>
  </si>
  <si>
    <t>ALVENARIA E DIVISÓRIAS</t>
  </si>
  <si>
    <t>ESTRUTURA METÁLICA</t>
  </si>
  <si>
    <t>ADMINISTRAÇÃO - MENSALISTAS</t>
  </si>
  <si>
    <t>TOTAL    R$</t>
  </si>
  <si>
    <t>% PERÍODO</t>
  </si>
  <si>
    <t>VALOR PERÍODO</t>
  </si>
  <si>
    <t>% ACUMULADO</t>
  </si>
  <si>
    <t>VALOR ACUMULADO</t>
  </si>
  <si>
    <t>DETALHAMENTO DA COMPOSIÇÃO DE BDI</t>
  </si>
  <si>
    <t>COMPOSIÇÃO BDI PARA OBRAS CIVIS</t>
  </si>
  <si>
    <t>DESCRIÇÃO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</si>
  <si>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</si>
  <si>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</si>
  <si>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</si>
  <si>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</si>
  <si>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</si>
  <si>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</si>
  <si>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</si>
  <si>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</si>
  <si>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</si>
  <si>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</si>
  <si>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</si>
  <si>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</si>
  <si>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</si>
  <si>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GOINFRA em janeiro de 2022. (Foi utilizado para o cálculo a média da Taxa SELIC no período de 01/2021 a 12//2021)</t>
  </si>
  <si>
    <t>(7) Valores definidos pela GOINFRA a partir dos limites no Acórdão nº 2.622/2013 - TCU – Plenário. Valores médios.</t>
  </si>
  <si>
    <t>Observação da GOINFRA: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GOINFRA,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</si>
  <si>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</si>
  <si>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t>(*) A fórmula para estipulação da taxa de BDI estimado adotado é a mesma que foi aplicada para a obtenção das tabelas contidas no Acórdão n. 2.622/2013 – TCUPlenário</t>
  </si>
  <si>
    <t>Obs.: Para obras com valores superiores a R$ 20.000.000,00 sugere-se recalcular o BDI, dimensionando as taxas de administração central e lucro para patamares inferiores ao estipulado acima.</t>
  </si>
  <si>
    <t>RELATÓRIO CENTRAL</t>
  </si>
  <si>
    <t>CÓDIGO</t>
  </si>
  <si>
    <t>ETAPA</t>
  </si>
  <si>
    <t>PREÇO  (R$) C/ BDI</t>
  </si>
  <si>
    <t>PARTIC  ( % )</t>
  </si>
  <si>
    <t>TOTAL GERAL DO ORÇAMENTO (R$) C/BDI</t>
  </si>
  <si>
    <t>PARCELA DE MAIOR RELEVÂNCIA</t>
  </si>
  <si>
    <t>SERVIÇO</t>
  </si>
  <si>
    <t>COBERTURA COM TELHA METÁLICA</t>
  </si>
  <si>
    <r>
      <rPr>
        <b/>
        <sz val="7"/>
        <rFont val="Verdana"/>
        <family val="2"/>
      </rPr>
      <t>PARC. MAIOR
RELEV (50%)</t>
    </r>
  </si>
  <si>
    <t>(*) Para os fins do inciso I dp § 1º do Art. 30 da Lei Federal 8.666/93, são consideradas parcelas de maior relevância técnica as execuções apresentadas</t>
  </si>
  <si>
    <r>
      <rPr>
        <b/>
        <sz val="6"/>
        <rFont val="Verdana"/>
        <family val="2"/>
      </rPr>
      <t xml:space="preserve">OBRA
</t>
    </r>
    <r>
      <rPr>
        <sz val="6"/>
        <rFont val="Verdana"/>
        <family val="2"/>
      </rPr>
      <t>REFORMA E AMPLIAÇÃO</t>
    </r>
  </si>
  <si>
    <r>
      <rPr>
        <b/>
        <sz val="6"/>
        <rFont val="Verdana"/>
        <family val="2"/>
      </rPr>
      <t xml:space="preserve">ENDEREÇO
</t>
    </r>
    <r>
      <rPr>
        <sz val="6"/>
        <rFont val="Verdana"/>
        <family val="2"/>
      </rPr>
      <t>RUA JOSE FRANCISCO RODRIGUES 30 , BAIRRO LUCILENE , CEP:75920-000</t>
    </r>
  </si>
  <si>
    <r>
      <rPr>
        <b/>
        <sz val="6"/>
        <rFont val="Verdana"/>
        <family val="2"/>
      </rPr>
      <t xml:space="preserve">CRE
</t>
    </r>
    <r>
      <rPr>
        <sz val="6"/>
        <rFont val="Verdana"/>
        <family val="2"/>
      </rPr>
      <t>CRE-SANTA HELENA</t>
    </r>
  </si>
  <si>
    <r>
      <rPr>
        <b/>
        <sz val="6"/>
        <rFont val="Verdana"/>
        <family val="2"/>
      </rPr>
      <t xml:space="preserve">REFERÊNCIA
</t>
    </r>
    <r>
      <rPr>
        <sz val="6"/>
        <rFont val="Verdana"/>
        <family val="2"/>
      </rPr>
      <t>GOINFRA E SINAPI - ONERADA</t>
    </r>
  </si>
  <si>
    <t>ÁREA A DEMOLIR (M²)</t>
  </si>
  <si>
    <r>
      <rPr>
        <b/>
        <sz val="6"/>
        <rFont val="Times New Roman"/>
        <family val="1"/>
      </rPr>
      <t xml:space="preserve">CRE
</t>
    </r>
    <r>
      <rPr>
        <sz val="6"/>
        <rFont val="Times New Roman"/>
        <family val="1"/>
      </rPr>
      <t>CRE-SANTA HELENA</t>
    </r>
  </si>
  <si>
    <r>
      <rPr>
        <b/>
        <sz val="6"/>
        <rFont val="Verdana"/>
        <family val="2"/>
      </rPr>
      <t xml:space="preserve">UNIDADE ESCOLAR
</t>
    </r>
    <r>
      <rPr>
        <sz val="6"/>
        <rFont val="Verdana"/>
        <family val="2"/>
      </rPr>
      <t>COLÉGIO ESTADUAL PROFESSOR BRAZ SIMÕES BORGES</t>
    </r>
  </si>
  <si>
    <r>
      <rPr>
        <b/>
        <sz val="6"/>
        <rFont val="Verdana"/>
        <family val="2"/>
      </rPr>
      <t xml:space="preserve">CÓDIGO INEP
</t>
    </r>
    <r>
      <rPr>
        <sz val="6"/>
        <rFont val="Verdana"/>
        <family val="2"/>
      </rPr>
      <t>52059235</t>
    </r>
  </si>
  <si>
    <r>
      <rPr>
        <b/>
        <sz val="6"/>
        <rFont val="Verdana"/>
        <family val="2"/>
      </rPr>
      <t xml:space="preserve">OBRA
</t>
    </r>
    <r>
      <rPr>
        <sz val="6"/>
        <rFont val="Verdana"/>
        <family val="2"/>
      </rPr>
      <t>COBERTURA DE QUADRA PADRÃO FNDE</t>
    </r>
  </si>
  <si>
    <r>
      <rPr>
        <b/>
        <sz val="6"/>
        <rFont val="Verdana"/>
        <family val="2"/>
      </rPr>
      <t xml:space="preserve">CIDADE
</t>
    </r>
    <r>
      <rPr>
        <sz val="6"/>
        <rFont val="Verdana"/>
        <family val="2"/>
      </rPr>
      <t>PORTEIRÃO</t>
    </r>
  </si>
  <si>
    <r>
      <rPr>
        <b/>
        <sz val="6"/>
        <rFont val="Verdana"/>
        <family val="2"/>
      </rPr>
      <t xml:space="preserve">DATA
</t>
    </r>
    <r>
      <rPr>
        <sz val="6"/>
        <rFont val="Verdana"/>
        <family val="2"/>
      </rPr>
      <t>26/02/2024</t>
    </r>
  </si>
  <si>
    <r>
      <rPr>
        <b/>
        <sz val="6"/>
        <rFont val="Verdana"/>
        <family val="2"/>
      </rPr>
      <t xml:space="preserve">ÁREA TOTAL CONSTRUÍDA (M²)
</t>
    </r>
    <r>
      <rPr>
        <sz val="6"/>
        <rFont val="Verdana"/>
        <family val="2"/>
      </rPr>
      <t>1740,88</t>
    </r>
  </si>
  <si>
    <r>
      <rPr>
        <b/>
        <sz val="6"/>
        <rFont val="Verdana"/>
        <family val="2"/>
      </rPr>
      <t xml:space="preserve">ÁREA EXISTENTE (M²)
</t>
    </r>
    <r>
      <rPr>
        <sz val="6"/>
        <rFont val="Verdana"/>
        <family val="2"/>
      </rPr>
      <t>997,16</t>
    </r>
  </si>
  <si>
    <r>
      <rPr>
        <b/>
        <sz val="6"/>
        <rFont val="Verdana"/>
        <family val="2"/>
      </rPr>
      <t xml:space="preserve">ÁREA A CONSTRUIR (M²)
</t>
    </r>
    <r>
      <rPr>
        <sz val="6"/>
        <rFont val="Verdana"/>
        <family val="2"/>
      </rPr>
      <t>743,72</t>
    </r>
  </si>
  <si>
    <r>
      <rPr>
        <b/>
        <sz val="6"/>
        <rFont val="Verdana"/>
        <family val="2"/>
      </rPr>
      <t xml:space="preserve">REFERÊNCIA GOINFRA
</t>
    </r>
    <r>
      <rPr>
        <sz val="6"/>
        <rFont val="Verdana"/>
        <family val="2"/>
      </rPr>
      <t>MAI/22 ONERADA</t>
    </r>
  </si>
  <si>
    <r>
      <rPr>
        <b/>
        <sz val="6"/>
        <rFont val="Verdana"/>
        <family val="2"/>
      </rPr>
      <t xml:space="preserve">REFERÊNCIA SINAPI
</t>
    </r>
    <r>
      <rPr>
        <sz val="6"/>
        <rFont val="Verdana"/>
        <family val="2"/>
      </rPr>
      <t>MAI/22 ONERADA</t>
    </r>
  </si>
  <si>
    <r>
      <rPr>
        <b/>
        <sz val="6"/>
        <rFont val="Verdana"/>
        <family val="2"/>
      </rPr>
      <t xml:space="preserve">ENDEREÇO
</t>
    </r>
    <r>
      <rPr>
        <sz val="6"/>
        <rFont val="Verdana"/>
        <family val="2"/>
      </rPr>
      <t>RUA RIO TURVO S/N , CENTRO , CEP:75603-000</t>
    </r>
  </si>
  <si>
    <r>
      <rPr>
        <b/>
        <sz val="6"/>
        <rFont val="Verdana"/>
        <family val="2"/>
      </rPr>
      <t xml:space="preserve">ÁREA TOTAL CONSTRUÍDA (M²) </t>
    </r>
    <r>
      <rPr>
        <sz val="6"/>
        <rFont val="Verdana"/>
        <family val="2"/>
      </rPr>
      <t>1740,88</t>
    </r>
  </si>
  <si>
    <r>
      <rPr>
        <b/>
        <sz val="6"/>
        <rFont val="Verdana"/>
        <family val="2"/>
      </rPr>
      <t xml:space="preserve">CIDADE
</t>
    </r>
    <r>
      <rPr>
        <sz val="6"/>
        <rFont val="Verdana"/>
        <family val="2"/>
      </rPr>
      <t xml:space="preserve">PORTEIRÃO </t>
    </r>
  </si>
  <si>
    <t>NÚMERO DE PARCELAS
3</t>
  </si>
  <si>
    <r>
      <rPr>
        <b/>
        <sz val="6"/>
        <rFont val="Times New Roman"/>
        <family val="1"/>
      </rPr>
      <t xml:space="preserve">UNIDADE ESCOLAR
</t>
    </r>
    <r>
      <rPr>
        <sz val="6"/>
        <rFont val="Times New Roman"/>
        <family val="1"/>
      </rPr>
      <t>COLÉGIO ESTADUAL PROFESSOR BRAZ SIMÕES BORGES</t>
    </r>
  </si>
  <si>
    <r>
      <rPr>
        <b/>
        <sz val="6"/>
        <rFont val="Times New Roman"/>
        <family val="1"/>
      </rPr>
      <t xml:space="preserve">OBRA
</t>
    </r>
    <r>
      <rPr>
        <sz val="6"/>
        <rFont val="Times New Roman"/>
        <family val="1"/>
      </rPr>
      <t>COBERTURA DE QUADRA PADRÃO FNDE</t>
    </r>
  </si>
  <si>
    <r>
      <rPr>
        <b/>
        <sz val="6"/>
        <rFont val="Times New Roman"/>
        <family val="1"/>
      </rPr>
      <t xml:space="preserve">ENDEREÇO
</t>
    </r>
    <r>
      <rPr>
        <sz val="6"/>
        <rFont val="Times New Roman"/>
        <family val="1"/>
      </rPr>
      <t>RUA RIO TURVO S/N , CENTRO , CEP:75603-000</t>
    </r>
  </si>
  <si>
    <r>
      <rPr>
        <b/>
        <sz val="6"/>
        <rFont val="Times New Roman"/>
        <family val="1"/>
      </rPr>
      <t xml:space="preserve">CIDADE
</t>
    </r>
    <r>
      <rPr>
        <sz val="6"/>
        <rFont val="Times New Roman"/>
        <family val="1"/>
      </rPr>
      <t xml:space="preserve">PORTEIRÃO </t>
    </r>
  </si>
  <si>
    <t xml:space="preserve">VALOR R$ </t>
  </si>
  <si>
    <r>
      <rPr>
        <b/>
        <sz val="6"/>
        <color theme="1"/>
        <rFont val="Verdana"/>
        <family val="2"/>
      </rPr>
      <t xml:space="preserve">UNIDADE ESCOLAR
</t>
    </r>
    <r>
      <rPr>
        <sz val="6"/>
        <color theme="1"/>
        <rFont val="Verdana"/>
        <family val="2"/>
      </rPr>
      <t>COLÉGIO ESTADUAL PROFESSOR BRAZ SIMÕES BORGES</t>
    </r>
  </si>
  <si>
    <r>
      <rPr>
        <b/>
        <sz val="6"/>
        <color theme="1"/>
        <rFont val="Verdana"/>
        <family val="2"/>
      </rPr>
      <t xml:space="preserve">OBRA
</t>
    </r>
    <r>
      <rPr>
        <sz val="6"/>
        <color theme="1"/>
        <rFont val="Verdana"/>
        <family val="2"/>
      </rPr>
      <t>COBERTURA DE QUADRA PADRÃO FNDE</t>
    </r>
  </si>
  <si>
    <r>
      <rPr>
        <b/>
        <sz val="6"/>
        <color theme="1"/>
        <rFont val="Verdana"/>
        <family val="2"/>
      </rPr>
      <t xml:space="preserve">PRAZO
</t>
    </r>
    <r>
      <rPr>
        <sz val="6"/>
        <color theme="1"/>
        <rFont val="Verdana"/>
        <family val="2"/>
      </rPr>
      <t>90  dias corridos</t>
    </r>
  </si>
  <si>
    <r>
      <t xml:space="preserve">LOCAL
</t>
    </r>
    <r>
      <rPr>
        <sz val="6"/>
        <color theme="1"/>
        <rFont val="Verdana"/>
        <family val="2"/>
      </rPr>
      <t xml:space="preserve">PORTEIRÃO </t>
    </r>
  </si>
  <si>
    <r>
      <rPr>
        <b/>
        <sz val="6"/>
        <color theme="1"/>
        <rFont val="Verdana"/>
        <family val="2"/>
      </rPr>
      <t xml:space="preserve">DATA
</t>
    </r>
    <r>
      <rPr>
        <sz val="6"/>
        <color theme="1"/>
        <rFont val="Verdana"/>
        <family val="2"/>
      </rPr>
      <t>26/02/2024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</si>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</sst>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"/>
  </numFmts>
  <fonts count="18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7"/>
      <color rgb="FF000000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7"/>
      <color rgb="FF000000"/>
      <name val="Verdana"/>
      <family val="2"/>
    </font>
    <font>
      <b/>
      <i/>
      <sz val="7"/>
      <name val="Verdana"/>
      <family val="2"/>
    </font>
    <font>
      <b/>
      <sz val="10"/>
      <color rgb="FF000000"/>
      <name val="Times New Roman"/>
      <family val="1"/>
    </font>
    <font>
      <sz val="6"/>
      <color rgb="FF000000"/>
      <name val="Verdana"/>
      <family val="2"/>
    </font>
    <font>
      <b/>
      <sz val="6"/>
      <name val="Verdana"/>
      <family val="2"/>
    </font>
    <font>
      <sz val="6"/>
      <name val="Verdana"/>
      <family val="2"/>
    </font>
    <font>
      <b/>
      <sz val="6"/>
      <name val="Times New Roman"/>
      <family val="1"/>
    </font>
    <font>
      <sz val="6"/>
      <name val="Times New Roman"/>
      <family val="1"/>
    </font>
    <font>
      <sz val="6"/>
      <color theme="1"/>
      <name val="Verdana"/>
      <family val="2"/>
    </font>
    <font>
      <b/>
      <sz val="6"/>
      <color theme="1"/>
      <name val="Verdana"/>
      <family val="2"/>
    </font>
    <font>
      <sz val="10"/>
      <color theme="1"/>
      <name val="Times New Roman"/>
      <family val="1"/>
    </font>
    <font>
      <b/>
      <sz val="7"/>
      <color theme="1"/>
      <name val="Verdana"/>
      <family val="2"/>
    </font>
    <font>
      <sz val="7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9999FF"/>
      </patternFill>
    </fill>
    <fill>
      <patternFill patternType="solid">
        <fgColor rgb="FFFDE8D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center" vertical="top" shrinkToFit="1"/>
    </xf>
    <xf numFmtId="4" fontId="2" fillId="0" borderId="2" xfId="0" applyNumberFormat="1" applyFont="1" applyBorder="1" applyAlignment="1">
      <alignment horizontal="right" vertical="top" shrinkToFit="1"/>
    </xf>
    <xf numFmtId="2" fontId="2" fillId="0" borderId="2" xfId="0" applyNumberFormat="1" applyFont="1" applyBorder="1" applyAlignment="1">
      <alignment horizontal="right" vertical="top" shrinkToFit="1"/>
    </xf>
    <xf numFmtId="0" fontId="2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top" shrinkToFit="1"/>
    </xf>
    <xf numFmtId="2" fontId="5" fillId="0" borderId="2" xfId="0" applyNumberFormat="1" applyFont="1" applyBorder="1" applyAlignment="1">
      <alignment horizontal="right" vertical="top" shrinkToFi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wrapText="1"/>
    </xf>
    <xf numFmtId="2" fontId="2" fillId="0" borderId="2" xfId="0" applyNumberFormat="1" applyFont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" fontId="2" fillId="5" borderId="8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3" fontId="3" fillId="0" borderId="2" xfId="1" applyFont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shrinkToFit="1"/>
    </xf>
    <xf numFmtId="43" fontId="2" fillId="2" borderId="2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shrinkToFit="1"/>
    </xf>
    <xf numFmtId="43" fontId="2" fillId="0" borderId="2" xfId="1" applyFont="1" applyBorder="1" applyAlignment="1">
      <alignment horizontal="center" vertical="center" shrinkToFit="1"/>
    </xf>
    <xf numFmtId="43" fontId="2" fillId="6" borderId="2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shrinkToFit="1"/>
    </xf>
    <xf numFmtId="2" fontId="5" fillId="0" borderId="4" xfId="0" applyNumberFormat="1" applyFont="1" applyBorder="1" applyAlignment="1">
      <alignment horizontal="right" vertical="top" shrinkToFit="1"/>
    </xf>
    <xf numFmtId="4" fontId="5" fillId="0" borderId="4" xfId="0" applyNumberFormat="1" applyFont="1" applyBorder="1" applyAlignment="1">
      <alignment horizontal="right" vertical="top" shrinkToFit="1"/>
    </xf>
    <xf numFmtId="4" fontId="5" fillId="0" borderId="4" xfId="0" applyNumberFormat="1" applyFont="1" applyBorder="1" applyAlignment="1">
      <alignment horizontal="right" vertical="center" shrinkToFit="1"/>
    </xf>
    <xf numFmtId="4" fontId="5" fillId="2" borderId="4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  <xf numFmtId="0" fontId="6" fillId="6" borderId="2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3" fillId="2" borderId="8" xfId="0" applyFont="1" applyFill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top" wrapText="1" indent="3"/>
    </xf>
    <xf numFmtId="10" fontId="2" fillId="0" borderId="2" xfId="0" applyNumberFormat="1" applyFont="1" applyBorder="1" applyAlignment="1">
      <alignment horizontal="right" vertical="top" shrinkToFit="1"/>
    </xf>
    <xf numFmtId="10" fontId="2" fillId="8" borderId="2" xfId="0" applyNumberFormat="1" applyFont="1" applyFill="1" applyBorder="1" applyAlignment="1">
      <alignment horizontal="right" vertical="top" shrinkToFit="1"/>
    </xf>
    <xf numFmtId="10" fontId="5" fillId="0" borderId="2" xfId="0" applyNumberFormat="1" applyFont="1" applyBorder="1" applyAlignment="1">
      <alignment horizontal="right" vertical="top" shrinkToFit="1"/>
    </xf>
    <xf numFmtId="10" fontId="2" fillId="0" borderId="2" xfId="0" applyNumberFormat="1" applyFont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7" fillId="0" borderId="16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 indent="12"/>
    </xf>
    <xf numFmtId="0" fontId="3" fillId="0" borderId="4" xfId="0" applyFont="1" applyBorder="1" applyAlignment="1">
      <alignment horizontal="left" vertical="top" wrapText="1" indent="12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13" xfId="0" applyFont="1" applyBorder="1" applyAlignment="1">
      <alignment horizontal="center" vertical="top"/>
    </xf>
    <xf numFmtId="0" fontId="2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justify" vertical="top" wrapText="1"/>
    </xf>
    <xf numFmtId="0" fontId="0" fillId="0" borderId="7" xfId="0" applyBorder="1" applyAlignment="1">
      <alignment horizontal="justify" vertical="top"/>
    </xf>
    <xf numFmtId="0" fontId="3" fillId="0" borderId="3" xfId="0" applyFont="1" applyBorder="1" applyAlignment="1">
      <alignment horizontal="left" vertical="top" wrapText="1" indent="10"/>
    </xf>
    <xf numFmtId="0" fontId="3" fillId="0" borderId="4" xfId="0" applyFont="1" applyBorder="1" applyAlignment="1">
      <alignment horizontal="left" vertical="top" wrapText="1" indent="10"/>
    </xf>
    <xf numFmtId="0" fontId="5" fillId="0" borderId="16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43" fontId="8" fillId="0" borderId="0" xfId="1" applyFont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43" fontId="3" fillId="0" borderId="0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shrinkToFit="1"/>
    </xf>
    <xf numFmtId="10" fontId="5" fillId="3" borderId="16" xfId="1" applyNumberFormat="1" applyFont="1" applyFill="1" applyBorder="1" applyAlignment="1">
      <alignment horizontal="center" vertical="center" wrapText="1"/>
    </xf>
    <xf numFmtId="10" fontId="7" fillId="0" borderId="16" xfId="0" applyNumberFormat="1" applyFont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5" fillId="6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43" fontId="2" fillId="0" borderId="16" xfId="1" applyFont="1" applyBorder="1" applyAlignment="1">
      <alignment horizontal="center" vertical="center" shrinkToFit="1"/>
    </xf>
    <xf numFmtId="43" fontId="2" fillId="0" borderId="0" xfId="1" applyFont="1" applyAlignment="1">
      <alignment horizontal="left" vertical="top"/>
    </xf>
    <xf numFmtId="43" fontId="5" fillId="0" borderId="16" xfId="1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43" fontId="2" fillId="0" borderId="5" xfId="1" applyFont="1" applyBorder="1" applyAlignment="1">
      <alignment horizontal="center" vertical="center" shrinkToFit="1"/>
    </xf>
    <xf numFmtId="43" fontId="2" fillId="2" borderId="3" xfId="1" applyFont="1" applyFill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shrinkToFit="1"/>
    </xf>
    <xf numFmtId="43" fontId="2" fillId="3" borderId="3" xfId="1" applyFont="1" applyFill="1" applyBorder="1" applyAlignment="1">
      <alignment horizontal="center" vertical="center" wrapText="1"/>
    </xf>
    <xf numFmtId="43" fontId="2" fillId="6" borderId="3" xfId="1" applyFont="1" applyFill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shrinkToFit="1"/>
    </xf>
    <xf numFmtId="43" fontId="2" fillId="2" borderId="12" xfId="1" applyFont="1" applyFill="1" applyBorder="1" applyAlignment="1">
      <alignment horizontal="center" vertical="center" wrapText="1"/>
    </xf>
    <xf numFmtId="43" fontId="2" fillId="0" borderId="18" xfId="1" applyFont="1" applyBorder="1" applyAlignment="1">
      <alignment horizontal="center" vertical="center" shrinkToFit="1"/>
    </xf>
    <xf numFmtId="43" fontId="2" fillId="0" borderId="16" xfId="1" applyFont="1" applyBorder="1" applyAlignment="1">
      <alignment horizontal="right" vertical="center"/>
    </xf>
    <xf numFmtId="0" fontId="13" fillId="0" borderId="5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3" fillId="0" borderId="16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6" fillId="0" borderId="8" xfId="0" applyFont="1" applyBorder="1" applyAlignment="1">
      <alignment horizontal="left" vertical="top" wrapText="1" indent="3"/>
    </xf>
    <xf numFmtId="0" fontId="16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  <xf numFmtId="1" fontId="16" fillId="0" borderId="3" xfId="0" applyNumberFormat="1" applyFont="1" applyBorder="1" applyAlignment="1">
      <alignment horizontal="center" vertical="top" shrinkToFit="1"/>
    </xf>
    <xf numFmtId="1" fontId="16" fillId="0" borderId="4" xfId="0" applyNumberFormat="1" applyFont="1" applyBorder="1" applyAlignment="1">
      <alignment horizontal="center" vertical="top" shrinkToFit="1"/>
    </xf>
    <xf numFmtId="0" fontId="16" fillId="0" borderId="1" xfId="0" applyFont="1" applyBorder="1" applyAlignment="1">
      <alignment horizontal="left" vertical="top" wrapText="1" indent="3"/>
    </xf>
    <xf numFmtId="1" fontId="17" fillId="0" borderId="3" xfId="0" applyNumberFormat="1" applyFont="1" applyBorder="1" applyAlignment="1">
      <alignment horizontal="center" vertical="top" shrinkToFit="1"/>
    </xf>
    <xf numFmtId="1" fontId="17" fillId="0" borderId="4" xfId="0" applyNumberFormat="1" applyFont="1" applyBorder="1" applyAlignment="1">
      <alignment horizontal="center" vertical="top" shrinkToFit="1"/>
    </xf>
    <xf numFmtId="0" fontId="17" fillId="0" borderId="8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vertical="center" wrapText="1"/>
    </xf>
    <xf numFmtId="10" fontId="17" fillId="7" borderId="3" xfId="0" applyNumberFormat="1" applyFont="1" applyFill="1" applyBorder="1" applyAlignment="1">
      <alignment horizontal="left" vertical="top" indent="2" shrinkToFit="1"/>
    </xf>
    <xf numFmtId="10" fontId="17" fillId="7" borderId="4" xfId="0" applyNumberFormat="1" applyFont="1" applyFill="1" applyBorder="1" applyAlignment="1">
      <alignment horizontal="left" vertical="top" indent="2" shrinkToFit="1"/>
    </xf>
    <xf numFmtId="0" fontId="17" fillId="0" borderId="3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right" vertical="top" wrapText="1" indent="1"/>
    </xf>
    <xf numFmtId="10" fontId="17" fillId="7" borderId="3" xfId="0" applyNumberFormat="1" applyFont="1" applyFill="1" applyBorder="1" applyAlignment="1">
      <alignment horizontal="left" vertical="top" indent="3" shrinkToFit="1"/>
    </xf>
    <xf numFmtId="10" fontId="17" fillId="7" borderId="4" xfId="0" applyNumberFormat="1" applyFont="1" applyFill="1" applyBorder="1" applyAlignment="1">
      <alignment horizontal="left" vertical="top" indent="3" shrinkToFit="1"/>
    </xf>
    <xf numFmtId="0" fontId="17" fillId="0" borderId="4" xfId="0" applyFont="1" applyBorder="1" applyAlignment="1">
      <alignment horizontal="left" vertical="top" wrapText="1" indent="3"/>
    </xf>
    <xf numFmtId="10" fontId="16" fillId="0" borderId="3" xfId="0" applyNumberFormat="1" applyFont="1" applyBorder="1" applyAlignment="1">
      <alignment horizontal="left" vertical="top" indent="3" shrinkToFit="1"/>
    </xf>
    <xf numFmtId="10" fontId="16" fillId="0" borderId="4" xfId="0" applyNumberFormat="1" applyFont="1" applyBorder="1" applyAlignment="1">
      <alignment horizontal="left" vertical="top" indent="3" shrinkToFit="1"/>
    </xf>
    <xf numFmtId="10" fontId="17" fillId="0" borderId="3" xfId="0" applyNumberFormat="1" applyFont="1" applyBorder="1" applyAlignment="1">
      <alignment horizontal="left" vertical="top" indent="3" shrinkToFit="1"/>
    </xf>
    <xf numFmtId="10" fontId="17" fillId="0" borderId="4" xfId="0" applyNumberFormat="1" applyFont="1" applyBorder="1" applyAlignment="1">
      <alignment horizontal="left" vertical="top" indent="3" shrinkToFit="1"/>
    </xf>
    <xf numFmtId="10" fontId="17" fillId="0" borderId="3" xfId="0" applyNumberFormat="1" applyFont="1" applyBorder="1" applyAlignment="1">
      <alignment horizontal="left" vertical="top" indent="2" shrinkToFit="1"/>
    </xf>
    <xf numFmtId="10" fontId="17" fillId="0" borderId="4" xfId="0" applyNumberFormat="1" applyFont="1" applyBorder="1" applyAlignment="1">
      <alignment horizontal="left" vertical="top" indent="2" shrinkToFit="1"/>
    </xf>
    <xf numFmtId="43" fontId="17" fillId="0" borderId="3" xfId="1" applyFont="1" applyBorder="1" applyAlignment="1">
      <alignment horizontal="left" vertical="top" wrapText="1"/>
    </xf>
    <xf numFmtId="43" fontId="0" fillId="0" borderId="4" xfId="1" applyFont="1" applyBorder="1" applyAlignment="1">
      <alignment horizontal="left" vertical="top"/>
    </xf>
    <xf numFmtId="0" fontId="15" fillId="0" borderId="9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/>
    </xf>
    <xf numFmtId="4" fontId="17" fillId="0" borderId="12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/>
    </xf>
    <xf numFmtId="43" fontId="17" fillId="0" borderId="3" xfId="1" applyFont="1" applyBorder="1" applyAlignment="1">
      <alignment horizontal="right" vertical="top" wrapText="1"/>
    </xf>
    <xf numFmtId="43" fontId="0" fillId="0" borderId="4" xfId="1" applyFont="1" applyBorder="1" applyAlignment="1">
      <alignment horizontal="right" vertical="top"/>
    </xf>
    <xf numFmtId="43" fontId="16" fillId="0" borderId="3" xfId="1" applyFont="1" applyBorder="1" applyAlignment="1">
      <alignment horizontal="right" vertical="top" wrapText="1"/>
    </xf>
    <xf numFmtId="0" fontId="16" fillId="0" borderId="4" xfId="0" applyFont="1" applyBorder="1" applyAlignment="1">
      <alignment horizontal="right" vertical="top" wrapText="1"/>
    </xf>
    <xf numFmtId="0" fontId="17" fillId="0" borderId="19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/>
    </xf>
    <xf numFmtId="0" fontId="16" fillId="0" borderId="16" xfId="0" applyFont="1" applyBorder="1" applyAlignment="1">
      <alignment horizontal="right" vertical="center" wrapText="1"/>
    </xf>
    <xf numFmtId="43" fontId="16" fillId="0" borderId="16" xfId="1" applyFont="1" applyBorder="1" applyAlignment="1">
      <alignment horizontal="right" vertical="center" wrapText="1"/>
    </xf>
    <xf numFmtId="43" fontId="0" fillId="0" borderId="16" xfId="1" applyFont="1" applyBorder="1" applyAlignment="1">
      <alignment horizontal="left" vertical="center"/>
    </xf>
    <xf numFmtId="0" fontId="0" fillId="0" borderId="16" xfId="0" applyBorder="1" applyAlignment="1">
      <alignment horizontal="righ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565288</xdr:colOff>
      <xdr:row>23</xdr:row>
      <xdr:rowOff>299416</xdr:rowOff>
    </xdr:from>
    <xdr:to>
      <xdr:col>3</xdr:col>
      <xdr:colOff>1569967</xdr:colOff>
      <xdr:row>29</xdr:row>
      <xdr:rowOff>337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E3AA86-0DA2-E948-8940-3F77C44A5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288" y="4846568"/>
          <a:ext cx="5005179" cy="595443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30</xdr:row>
      <xdr:rowOff>85725</xdr:rowOff>
    </xdr:from>
    <xdr:to>
      <xdr:col>3</xdr:col>
      <xdr:colOff>1499981</xdr:colOff>
      <xdr:row>36</xdr:row>
      <xdr:rowOff>85726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8D31EEE-2113-B132-A8DE-287A89F5D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1" y="5643355"/>
          <a:ext cx="5005180" cy="695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view="pageBreakPreview" zoomScale="145" zoomScaleNormal="130" zoomScaleSheetLayoutView="145" workbookViewId="0">
      <selection activeCell="A3" sqref="A3:C3"/>
    </sheetView>
  </sheetViews>
  <sheetFormatPr defaultRowHeight="9" x14ac:dyDescent="0.2"/>
  <cols>
    <col min="1" max="1" width="8" style="1" customWidth="1"/>
    <col min="2" max="2" width="53.6640625" style="1" customWidth="1"/>
    <col min="3" max="3" width="11.83203125" style="1" customWidth="1"/>
    <col min="4" max="6" width="12" style="1" customWidth="1"/>
    <col min="7" max="16384" width="9.33203125" style="1"/>
  </cols>
  <sheetData>
    <row r="1" spans="1:6" s="109" customFormat="1" ht="17.25" customHeight="1" x14ac:dyDescent="0.2">
      <c r="A1" s="112" t="s">
        <v>374</v>
      </c>
      <c r="B1" s="107"/>
      <c r="C1" s="108"/>
      <c r="D1" s="112" t="s">
        <v>375</v>
      </c>
      <c r="E1" s="107"/>
      <c r="F1" s="108"/>
    </row>
    <row r="2" spans="1:6" s="109" customFormat="1" ht="17.25" customHeight="1" x14ac:dyDescent="0.2">
      <c r="A2" s="112" t="s">
        <v>376</v>
      </c>
      <c r="B2" s="107"/>
      <c r="C2" s="108"/>
      <c r="D2" s="112" t="s">
        <v>377</v>
      </c>
      <c r="E2" s="107"/>
      <c r="F2" s="108"/>
    </row>
    <row r="3" spans="1:6" s="109" customFormat="1" ht="17.25" customHeight="1" x14ac:dyDescent="0.2">
      <c r="A3" s="106" t="s">
        <v>369</v>
      </c>
      <c r="B3" s="107"/>
      <c r="C3" s="108"/>
      <c r="D3" s="106" t="s">
        <v>370</v>
      </c>
      <c r="E3" s="107"/>
      <c r="F3" s="108"/>
    </row>
    <row r="4" spans="1:6" s="109" customFormat="1" ht="19.5" customHeight="1" x14ac:dyDescent="0.2">
      <c r="A4" s="106" t="s">
        <v>371</v>
      </c>
      <c r="B4" s="108"/>
      <c r="C4" s="119" t="s">
        <v>378</v>
      </c>
      <c r="D4" s="112" t="s">
        <v>379</v>
      </c>
      <c r="E4" s="107"/>
      <c r="F4" s="108"/>
    </row>
    <row r="5" spans="1:6" x14ac:dyDescent="0.2">
      <c r="A5" s="78" t="s">
        <v>13</v>
      </c>
      <c r="B5" s="79"/>
      <c r="C5" s="79"/>
      <c r="D5" s="79"/>
      <c r="E5" s="79"/>
      <c r="F5" s="80"/>
    </row>
    <row r="6" spans="1:6" ht="15.75" customHeight="1" x14ac:dyDescent="0.2">
      <c r="A6" s="2" t="s">
        <v>0</v>
      </c>
      <c r="B6" s="3" t="s">
        <v>1</v>
      </c>
      <c r="C6" s="2" t="s">
        <v>2</v>
      </c>
      <c r="D6" s="4" t="s">
        <v>3</v>
      </c>
      <c r="E6" s="4" t="s">
        <v>4</v>
      </c>
      <c r="F6" s="4" t="s">
        <v>5</v>
      </c>
    </row>
    <row r="7" spans="1:6" ht="11.85" customHeight="1" x14ac:dyDescent="0.2">
      <c r="A7" s="5">
        <v>1</v>
      </c>
      <c r="B7" s="6" t="s">
        <v>6</v>
      </c>
      <c r="C7" s="7">
        <v>1</v>
      </c>
      <c r="D7" s="8">
        <f>'Planilha orçamentaria'!I6</f>
        <v>28692.45</v>
      </c>
      <c r="E7" s="8">
        <f>D7*1.2141</f>
        <v>34835.503545</v>
      </c>
      <c r="F7" s="9">
        <v>6.66</v>
      </c>
    </row>
    <row r="8" spans="1:6" ht="11.85" customHeight="1" x14ac:dyDescent="0.2">
      <c r="A8" s="5">
        <v>2</v>
      </c>
      <c r="B8" s="6" t="s">
        <v>7</v>
      </c>
      <c r="C8" s="7">
        <v>1</v>
      </c>
      <c r="D8" s="8">
        <f>'Planilha orçamentaria'!I15</f>
        <v>4653.7</v>
      </c>
      <c r="E8" s="8">
        <f t="shared" ref="E8:E12" si="0">D8*1.2141</f>
        <v>5650.0571699999991</v>
      </c>
      <c r="F8" s="9">
        <v>1.0900000000000001</v>
      </c>
    </row>
    <row r="9" spans="1:6" ht="11.85" customHeight="1" x14ac:dyDescent="0.2">
      <c r="A9" s="5">
        <v>3</v>
      </c>
      <c r="B9" s="6" t="s">
        <v>8</v>
      </c>
      <c r="C9" s="7">
        <v>1</v>
      </c>
      <c r="D9" s="8">
        <f>'Planilha orçamentaria'!I30</f>
        <v>367102.92</v>
      </c>
      <c r="E9" s="8">
        <f t="shared" si="0"/>
        <v>445699.65517199994</v>
      </c>
      <c r="F9" s="9">
        <v>85.59</v>
      </c>
    </row>
    <row r="10" spans="1:6" ht="11.85" customHeight="1" x14ac:dyDescent="0.2">
      <c r="A10" s="5">
        <v>4</v>
      </c>
      <c r="B10" s="6" t="s">
        <v>9</v>
      </c>
      <c r="C10" s="7">
        <v>1</v>
      </c>
      <c r="D10" s="8">
        <f>'Planilha orçamentaria'!I123</f>
        <v>2116.4300000000003</v>
      </c>
      <c r="E10" s="8">
        <f t="shared" si="0"/>
        <v>2569.557663</v>
      </c>
      <c r="F10" s="9">
        <v>0.49</v>
      </c>
    </row>
    <row r="11" spans="1:6" ht="11.85" customHeight="1" x14ac:dyDescent="0.2">
      <c r="A11" s="5">
        <v>5</v>
      </c>
      <c r="B11" s="6" t="s">
        <v>10</v>
      </c>
      <c r="C11" s="7">
        <v>1</v>
      </c>
      <c r="D11" s="8">
        <f>'Planilha orçamentaria'!I139</f>
        <v>22580.669999999995</v>
      </c>
      <c r="E11" s="8">
        <f t="shared" si="0"/>
        <v>27415.191446999994</v>
      </c>
      <c r="F11" s="9">
        <v>5.26</v>
      </c>
    </row>
    <row r="12" spans="1:6" ht="11.85" customHeight="1" x14ac:dyDescent="0.2">
      <c r="A12" s="5">
        <v>6</v>
      </c>
      <c r="B12" s="6" t="s">
        <v>11</v>
      </c>
      <c r="C12" s="7">
        <v>1</v>
      </c>
      <c r="D12" s="8">
        <f>'Planilha orçamentaria'!I155</f>
        <v>3889.5</v>
      </c>
      <c r="E12" s="8">
        <f t="shared" si="0"/>
        <v>4722.2419499999996</v>
      </c>
      <c r="F12" s="9">
        <v>0.91</v>
      </c>
    </row>
    <row r="13" spans="1:6" ht="11.85" customHeight="1" x14ac:dyDescent="0.2">
      <c r="A13" s="76" t="s">
        <v>12</v>
      </c>
      <c r="B13" s="77"/>
      <c r="C13" s="10"/>
      <c r="D13" s="11">
        <f>SUM(D7:D12)</f>
        <v>429035.67</v>
      </c>
      <c r="E13" s="11">
        <f>D13*1.2141</f>
        <v>520892.20694699994</v>
      </c>
      <c r="F13" s="12">
        <v>100</v>
      </c>
    </row>
  </sheetData>
  <mergeCells count="10">
    <mergeCell ref="A13:B13"/>
    <mergeCell ref="A5:F5"/>
    <mergeCell ref="A1:C1"/>
    <mergeCell ref="D1:F1"/>
    <mergeCell ref="A2:C2"/>
    <mergeCell ref="D2:F2"/>
    <mergeCell ref="A3:C3"/>
    <mergeCell ref="D3:F3"/>
    <mergeCell ref="A4:B4"/>
    <mergeCell ref="D4:F4"/>
  </mergeCells>
  <pageMargins left="0.25" right="0.25" top="1.09375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67"/>
  <sheetViews>
    <sheetView tabSelected="1" view="pageBreakPreview" topLeftCell="C1" zoomScale="145" zoomScaleNormal="145" zoomScaleSheetLayoutView="145" workbookViewId="0">
      <selection activeCell="J8" sqref="J8"/>
    </sheetView>
  </sheetViews>
  <sheetFormatPr defaultRowHeight="9" x14ac:dyDescent="0.2"/>
  <cols>
    <col min="1" max="1" width="7.5" style="28" bestFit="1" customWidth="1"/>
    <col min="2" max="2" width="8.83203125" style="1" bestFit="1" customWidth="1"/>
    <col min="3" max="3" width="8.6640625" style="28" bestFit="1" customWidth="1"/>
    <col min="4" max="4" width="39.5" style="1" customWidth="1"/>
    <col min="5" max="5" width="6.83203125" style="28" customWidth="1"/>
    <col min="6" max="6" width="8.6640625" style="39" customWidth="1"/>
    <col min="7" max="7" width="9" style="39" customWidth="1"/>
    <col min="8" max="8" width="8.5" style="39" customWidth="1"/>
    <col min="9" max="9" width="13" style="39" bestFit="1" customWidth="1"/>
    <col min="10" max="10" width="9.33203125" style="1"/>
    <col min="11" max="11" width="6.5" style="39" hidden="1" customWidth="1"/>
    <col min="12" max="12" width="8.5" style="39" hidden="1" customWidth="1"/>
    <col min="13" max="14" width="12.1640625" style="130" hidden="1" customWidth="1"/>
    <col min="15" max="16384" width="9.33203125" style="1"/>
  </cols>
  <sheetData>
    <row r="1" spans="1:15" s="109" customFormat="1" ht="20.25" customHeight="1" x14ac:dyDescent="0.2">
      <c r="A1" s="112" t="s">
        <v>374</v>
      </c>
      <c r="B1" s="107"/>
      <c r="C1" s="107"/>
      <c r="D1" s="107"/>
      <c r="E1" s="107"/>
      <c r="F1" s="107"/>
      <c r="G1" s="108"/>
      <c r="H1" s="112" t="s">
        <v>375</v>
      </c>
      <c r="I1" s="108"/>
      <c r="M1" s="110"/>
      <c r="N1" s="110"/>
      <c r="O1" s="110"/>
    </row>
    <row r="2" spans="1:15" s="109" customFormat="1" ht="18" customHeight="1" x14ac:dyDescent="0.2">
      <c r="A2" s="112" t="s">
        <v>376</v>
      </c>
      <c r="B2" s="107"/>
      <c r="C2" s="107"/>
      <c r="D2" s="108"/>
      <c r="E2" s="112" t="s">
        <v>378</v>
      </c>
      <c r="F2" s="107"/>
      <c r="G2" s="108"/>
      <c r="H2" s="112" t="s">
        <v>377</v>
      </c>
      <c r="I2" s="108"/>
      <c r="M2" s="110"/>
      <c r="N2" s="110"/>
      <c r="O2" s="110"/>
    </row>
    <row r="3" spans="1:15" s="109" customFormat="1" ht="16.5" x14ac:dyDescent="0.2">
      <c r="A3" s="106" t="s">
        <v>370</v>
      </c>
      <c r="B3" s="107"/>
      <c r="C3" s="108"/>
      <c r="D3" s="111" t="s">
        <v>384</v>
      </c>
      <c r="E3" s="112" t="s">
        <v>382</v>
      </c>
      <c r="F3" s="107"/>
      <c r="G3" s="108"/>
      <c r="H3" s="112" t="s">
        <v>383</v>
      </c>
      <c r="I3" s="108"/>
      <c r="M3" s="110"/>
      <c r="N3" s="110"/>
      <c r="O3" s="110"/>
    </row>
    <row r="4" spans="1:15" s="109" customFormat="1" ht="16.5" x14ac:dyDescent="0.2">
      <c r="A4" s="112" t="s">
        <v>380</v>
      </c>
      <c r="B4" s="107"/>
      <c r="C4" s="108"/>
      <c r="D4" s="111" t="s">
        <v>381</v>
      </c>
      <c r="E4" s="113" t="s">
        <v>372</v>
      </c>
      <c r="F4" s="114"/>
      <c r="G4" s="115"/>
      <c r="H4" s="112" t="s">
        <v>385</v>
      </c>
      <c r="I4" s="108"/>
      <c r="M4" s="110"/>
      <c r="N4" s="110"/>
      <c r="O4" s="110"/>
    </row>
    <row r="5" spans="1:15" s="28" customFormat="1" x14ac:dyDescent="0.2">
      <c r="A5" s="29" t="s">
        <v>0</v>
      </c>
      <c r="B5" s="29" t="s">
        <v>14</v>
      </c>
      <c r="C5" s="29" t="s">
        <v>15</v>
      </c>
      <c r="D5" s="29" t="s">
        <v>1</v>
      </c>
      <c r="E5" s="29" t="s">
        <v>292</v>
      </c>
      <c r="F5" s="40" t="s">
        <v>291</v>
      </c>
      <c r="G5" s="40" t="s">
        <v>18</v>
      </c>
      <c r="H5" s="40" t="s">
        <v>19</v>
      </c>
      <c r="I5" s="40" t="s">
        <v>293</v>
      </c>
      <c r="K5" s="121"/>
      <c r="L5" s="121"/>
      <c r="M5" s="39"/>
      <c r="N5" s="39"/>
    </row>
    <row r="6" spans="1:15" x14ac:dyDescent="0.2">
      <c r="A6" s="30">
        <v>1</v>
      </c>
      <c r="B6" s="15"/>
      <c r="C6" s="33"/>
      <c r="D6" s="16" t="s">
        <v>6</v>
      </c>
      <c r="E6" s="38" t="s">
        <v>20</v>
      </c>
      <c r="F6" s="41"/>
      <c r="G6" s="41"/>
      <c r="H6" s="41"/>
      <c r="I6" s="42">
        <f>SUM(I7,I9,I12)</f>
        <v>28692.45</v>
      </c>
      <c r="K6" s="123">
        <v>0.81</v>
      </c>
      <c r="L6" s="124"/>
      <c r="M6" s="131" t="s">
        <v>18</v>
      </c>
      <c r="N6" s="131" t="s">
        <v>19</v>
      </c>
    </row>
    <row r="7" spans="1:15" x14ac:dyDescent="0.15">
      <c r="A7" s="2" t="s">
        <v>21</v>
      </c>
      <c r="B7" s="18"/>
      <c r="C7" s="35"/>
      <c r="D7" s="17" t="s">
        <v>22</v>
      </c>
      <c r="E7" s="35"/>
      <c r="F7" s="43"/>
      <c r="G7" s="43"/>
      <c r="H7" s="43"/>
      <c r="I7" s="44">
        <f>SUM(I8)</f>
        <v>2172</v>
      </c>
      <c r="K7" s="124"/>
      <c r="L7" s="124"/>
      <c r="M7" s="132"/>
      <c r="N7" s="132"/>
    </row>
    <row r="8" spans="1:15" ht="36" x14ac:dyDescent="0.2">
      <c r="A8" s="27" t="s">
        <v>23</v>
      </c>
      <c r="B8" s="19" t="s">
        <v>24</v>
      </c>
      <c r="C8" s="34">
        <v>21301</v>
      </c>
      <c r="D8" s="57" t="s">
        <v>25</v>
      </c>
      <c r="E8" s="27" t="s">
        <v>26</v>
      </c>
      <c r="F8" s="45">
        <v>7.5</v>
      </c>
      <c r="G8" s="45">
        <f>TRUNC(K8*$K$6,2)</f>
        <v>287.5</v>
      </c>
      <c r="H8" s="45">
        <f>TRUNC(L8*$K$6,2)</f>
        <v>2.1</v>
      </c>
      <c r="I8" s="45">
        <f>TRUNC(F8*(G8+H8),2)</f>
        <v>2172</v>
      </c>
      <c r="K8" s="122">
        <v>354.95</v>
      </c>
      <c r="L8" s="133">
        <v>2.6</v>
      </c>
      <c r="M8" s="141">
        <f>TRUNC(G8*F8,2)</f>
        <v>2156.25</v>
      </c>
      <c r="N8" s="141">
        <f>TRUNC(H8*F8,2)</f>
        <v>15.75</v>
      </c>
    </row>
    <row r="9" spans="1:15" x14ac:dyDescent="0.15">
      <c r="A9" s="2" t="s">
        <v>27</v>
      </c>
      <c r="B9" s="18"/>
      <c r="C9" s="35"/>
      <c r="D9" s="58" t="s">
        <v>28</v>
      </c>
      <c r="E9" s="35"/>
      <c r="F9" s="43"/>
      <c r="G9" s="125"/>
      <c r="H9" s="125"/>
      <c r="I9" s="125">
        <f>SUM(I10:I11)</f>
        <v>24373.360000000001</v>
      </c>
      <c r="K9" s="43"/>
      <c r="L9" s="134"/>
      <c r="M9" s="141">
        <f t="shared" ref="M9:M72" si="0">TRUNC(G9*F9,2)</f>
        <v>0</v>
      </c>
      <c r="N9" s="141">
        <f t="shared" ref="N9:N72" si="1">TRUNC(H9*F9,2)</f>
        <v>0</v>
      </c>
    </row>
    <row r="10" spans="1:15" x14ac:dyDescent="0.2">
      <c r="A10" s="27" t="s">
        <v>29</v>
      </c>
      <c r="B10" s="19" t="s">
        <v>24</v>
      </c>
      <c r="C10" s="34">
        <v>250101</v>
      </c>
      <c r="D10" s="57" t="s">
        <v>30</v>
      </c>
      <c r="E10" s="27" t="s">
        <v>31</v>
      </c>
      <c r="F10" s="45">
        <v>176</v>
      </c>
      <c r="G10" s="45">
        <f t="shared" ref="G9:G72" si="2">TRUNC(K10*$K$6,2)</f>
        <v>0</v>
      </c>
      <c r="H10" s="45">
        <f t="shared" ref="H9:H72" si="3">TRUNC(L10*$K$6,2)</f>
        <v>66.709999999999994</v>
      </c>
      <c r="I10" s="45">
        <f t="shared" ref="I9:I72" si="4">TRUNC(F10*(G10+H10),2)</f>
        <v>11740.96</v>
      </c>
      <c r="K10" s="45">
        <v>0</v>
      </c>
      <c r="L10" s="135">
        <v>82.37</v>
      </c>
      <c r="M10" s="141">
        <f t="shared" si="0"/>
        <v>0</v>
      </c>
      <c r="N10" s="141">
        <f t="shared" si="1"/>
        <v>11740.96</v>
      </c>
    </row>
    <row r="11" spans="1:15" x14ac:dyDescent="0.2">
      <c r="A11" s="27" t="s">
        <v>32</v>
      </c>
      <c r="B11" s="19" t="s">
        <v>24</v>
      </c>
      <c r="C11" s="34">
        <v>250103</v>
      </c>
      <c r="D11" s="57" t="s">
        <v>33</v>
      </c>
      <c r="E11" s="27" t="s">
        <v>31</v>
      </c>
      <c r="F11" s="45">
        <v>660</v>
      </c>
      <c r="G11" s="45">
        <f t="shared" si="2"/>
        <v>0</v>
      </c>
      <c r="H11" s="45">
        <f t="shared" si="3"/>
        <v>19.14</v>
      </c>
      <c r="I11" s="45">
        <f t="shared" si="4"/>
        <v>12632.4</v>
      </c>
      <c r="K11" s="45">
        <v>0</v>
      </c>
      <c r="L11" s="135">
        <v>23.64</v>
      </c>
      <c r="M11" s="141">
        <f t="shared" si="0"/>
        <v>0</v>
      </c>
      <c r="N11" s="141">
        <f t="shared" si="1"/>
        <v>12632.4</v>
      </c>
    </row>
    <row r="12" spans="1:15" x14ac:dyDescent="0.15">
      <c r="A12" s="2" t="s">
        <v>34</v>
      </c>
      <c r="B12" s="18"/>
      <c r="C12" s="35"/>
      <c r="D12" s="58" t="s">
        <v>35</v>
      </c>
      <c r="E12" s="35"/>
      <c r="F12" s="43"/>
      <c r="G12" s="125"/>
      <c r="H12" s="125"/>
      <c r="I12" s="125">
        <f>SUM(I13:I14)</f>
        <v>2147.09</v>
      </c>
      <c r="K12" s="43"/>
      <c r="L12" s="134"/>
      <c r="M12" s="141">
        <f t="shared" si="0"/>
        <v>0</v>
      </c>
      <c r="N12" s="141">
        <f t="shared" si="1"/>
        <v>0</v>
      </c>
    </row>
    <row r="13" spans="1:15" ht="18" x14ac:dyDescent="0.2">
      <c r="A13" s="27" t="s">
        <v>36</v>
      </c>
      <c r="B13" s="19" t="s">
        <v>24</v>
      </c>
      <c r="C13" s="34">
        <v>270804</v>
      </c>
      <c r="D13" s="57" t="s">
        <v>37</v>
      </c>
      <c r="E13" s="27" t="s">
        <v>20</v>
      </c>
      <c r="F13" s="45">
        <v>1</v>
      </c>
      <c r="G13" s="45">
        <v>1323.87</v>
      </c>
      <c r="H13" s="45">
        <f t="shared" si="3"/>
        <v>4.22</v>
      </c>
      <c r="I13" s="45">
        <f t="shared" si="4"/>
        <v>1328.09</v>
      </c>
      <c r="K13" s="45">
        <v>1480.88</v>
      </c>
      <c r="L13" s="135">
        <v>5.22</v>
      </c>
      <c r="M13" s="141">
        <f t="shared" si="0"/>
        <v>1323.87</v>
      </c>
      <c r="N13" s="141">
        <f t="shared" si="1"/>
        <v>4.22</v>
      </c>
    </row>
    <row r="14" spans="1:15" x14ac:dyDescent="0.2">
      <c r="A14" s="27" t="s">
        <v>38</v>
      </c>
      <c r="B14" s="19" t="s">
        <v>24</v>
      </c>
      <c r="C14" s="34">
        <v>270501</v>
      </c>
      <c r="D14" s="57" t="s">
        <v>39</v>
      </c>
      <c r="E14" s="27" t="s">
        <v>26</v>
      </c>
      <c r="F14" s="45">
        <v>350</v>
      </c>
      <c r="G14" s="45">
        <f t="shared" si="2"/>
        <v>0.85</v>
      </c>
      <c r="H14" s="45">
        <f t="shared" si="3"/>
        <v>1.49</v>
      </c>
      <c r="I14" s="45">
        <f t="shared" si="4"/>
        <v>819</v>
      </c>
      <c r="K14" s="45">
        <v>1.06</v>
      </c>
      <c r="L14" s="135">
        <v>1.85</v>
      </c>
      <c r="M14" s="141">
        <f t="shared" si="0"/>
        <v>297.5</v>
      </c>
      <c r="N14" s="141">
        <f t="shared" si="1"/>
        <v>521.5</v>
      </c>
    </row>
    <row r="15" spans="1:15" ht="18" x14ac:dyDescent="0.15">
      <c r="A15" s="30">
        <v>2</v>
      </c>
      <c r="B15" s="20"/>
      <c r="C15" s="33"/>
      <c r="D15" s="59" t="s">
        <v>7</v>
      </c>
      <c r="E15" s="38" t="s">
        <v>20</v>
      </c>
      <c r="F15" s="41"/>
      <c r="G15" s="126"/>
      <c r="H15" s="126"/>
      <c r="I15" s="126">
        <f>SUM(I16,I20,I22,I24,I27)</f>
        <v>4653.7</v>
      </c>
      <c r="K15" s="41"/>
      <c r="L15" s="136"/>
      <c r="M15" s="141">
        <f t="shared" si="0"/>
        <v>0</v>
      </c>
      <c r="N15" s="141">
        <f t="shared" si="1"/>
        <v>0</v>
      </c>
    </row>
    <row r="16" spans="1:15" x14ac:dyDescent="0.15">
      <c r="A16" s="2" t="s">
        <v>40</v>
      </c>
      <c r="B16" s="18"/>
      <c r="C16" s="35"/>
      <c r="D16" s="58" t="s">
        <v>22</v>
      </c>
      <c r="E16" s="35"/>
      <c r="F16" s="43"/>
      <c r="G16" s="125"/>
      <c r="H16" s="125"/>
      <c r="I16" s="125">
        <f>SUM(I17:I19)</f>
        <v>925.81</v>
      </c>
      <c r="K16" s="43"/>
      <c r="L16" s="134"/>
      <c r="M16" s="141">
        <f t="shared" si="0"/>
        <v>0</v>
      </c>
      <c r="N16" s="141">
        <f t="shared" si="1"/>
        <v>0</v>
      </c>
    </row>
    <row r="17" spans="1:14" ht="18" x14ac:dyDescent="0.2">
      <c r="A17" s="27" t="s">
        <v>41</v>
      </c>
      <c r="B17" s="19" t="s">
        <v>24</v>
      </c>
      <c r="C17" s="34">
        <v>20118</v>
      </c>
      <c r="D17" s="57" t="s">
        <v>42</v>
      </c>
      <c r="E17" s="27" t="s">
        <v>43</v>
      </c>
      <c r="F17" s="45">
        <v>4.5</v>
      </c>
      <c r="G17" s="45">
        <f t="shared" si="2"/>
        <v>0</v>
      </c>
      <c r="H17" s="45">
        <f t="shared" si="3"/>
        <v>29.16</v>
      </c>
      <c r="I17" s="45">
        <f t="shared" si="4"/>
        <v>131.22</v>
      </c>
      <c r="K17" s="45">
        <v>0</v>
      </c>
      <c r="L17" s="135">
        <v>36</v>
      </c>
      <c r="M17" s="141">
        <f t="shared" si="0"/>
        <v>0</v>
      </c>
      <c r="N17" s="141">
        <f t="shared" si="1"/>
        <v>131.22</v>
      </c>
    </row>
    <row r="18" spans="1:14" ht="18" x14ac:dyDescent="0.2">
      <c r="A18" s="27" t="s">
        <v>44</v>
      </c>
      <c r="B18" s="19" t="s">
        <v>24</v>
      </c>
      <c r="C18" s="34">
        <v>20121</v>
      </c>
      <c r="D18" s="57" t="s">
        <v>45</v>
      </c>
      <c r="E18" s="27" t="s">
        <v>43</v>
      </c>
      <c r="F18" s="45">
        <v>2.0099999999999998</v>
      </c>
      <c r="G18" s="45">
        <f t="shared" si="2"/>
        <v>0</v>
      </c>
      <c r="H18" s="45">
        <f t="shared" si="3"/>
        <v>121.29</v>
      </c>
      <c r="I18" s="45">
        <f t="shared" si="4"/>
        <v>243.79</v>
      </c>
      <c r="K18" s="45">
        <v>0</v>
      </c>
      <c r="L18" s="135">
        <v>149.75</v>
      </c>
      <c r="M18" s="141">
        <f t="shared" si="0"/>
        <v>0</v>
      </c>
      <c r="N18" s="141">
        <f t="shared" si="1"/>
        <v>243.79</v>
      </c>
    </row>
    <row r="19" spans="1:14" ht="18" x14ac:dyDescent="0.2">
      <c r="A19" s="27" t="s">
        <v>46</v>
      </c>
      <c r="B19" s="19" t="s">
        <v>24</v>
      </c>
      <c r="C19" s="34">
        <v>72080</v>
      </c>
      <c r="D19" s="57" t="s">
        <v>47</v>
      </c>
      <c r="E19" s="27" t="s">
        <v>31</v>
      </c>
      <c r="F19" s="45">
        <v>4</v>
      </c>
      <c r="G19" s="45">
        <f t="shared" si="2"/>
        <v>137.69999999999999</v>
      </c>
      <c r="H19" s="45">
        <f t="shared" si="3"/>
        <v>0</v>
      </c>
      <c r="I19" s="45">
        <f t="shared" si="4"/>
        <v>550.79999999999995</v>
      </c>
      <c r="K19" s="45">
        <v>170</v>
      </c>
      <c r="L19" s="135">
        <v>0</v>
      </c>
      <c r="M19" s="141">
        <f t="shared" si="0"/>
        <v>550.79999999999995</v>
      </c>
      <c r="N19" s="141">
        <f t="shared" si="1"/>
        <v>0</v>
      </c>
    </row>
    <row r="20" spans="1:14" x14ac:dyDescent="0.15">
      <c r="A20" s="2" t="s">
        <v>48</v>
      </c>
      <c r="B20" s="18"/>
      <c r="C20" s="35"/>
      <c r="D20" s="58" t="s">
        <v>49</v>
      </c>
      <c r="E20" s="35"/>
      <c r="F20" s="43"/>
      <c r="G20" s="125"/>
      <c r="H20" s="125"/>
      <c r="I20" s="125">
        <f>I21</f>
        <v>226.48</v>
      </c>
      <c r="K20" s="43"/>
      <c r="L20" s="134"/>
      <c r="M20" s="141">
        <f t="shared" si="0"/>
        <v>0</v>
      </c>
      <c r="N20" s="141">
        <f t="shared" si="1"/>
        <v>0</v>
      </c>
    </row>
    <row r="21" spans="1:14" ht="18" x14ac:dyDescent="0.2">
      <c r="A21" s="27" t="s">
        <v>50</v>
      </c>
      <c r="B21" s="19" t="s">
        <v>24</v>
      </c>
      <c r="C21" s="34">
        <v>30101</v>
      </c>
      <c r="D21" s="57" t="s">
        <v>51</v>
      </c>
      <c r="E21" s="27" t="s">
        <v>43</v>
      </c>
      <c r="F21" s="45">
        <v>6.51</v>
      </c>
      <c r="G21" s="45">
        <f t="shared" si="2"/>
        <v>27.62</v>
      </c>
      <c r="H21" s="45">
        <f t="shared" si="3"/>
        <v>7.17</v>
      </c>
      <c r="I21" s="45">
        <f t="shared" si="4"/>
        <v>226.48</v>
      </c>
      <c r="K21" s="45">
        <v>34.11</v>
      </c>
      <c r="L21" s="135">
        <v>8.86</v>
      </c>
      <c r="M21" s="141">
        <f t="shared" si="0"/>
        <v>179.8</v>
      </c>
      <c r="N21" s="141">
        <f t="shared" si="1"/>
        <v>46.67</v>
      </c>
    </row>
    <row r="22" spans="1:14" x14ac:dyDescent="0.15">
      <c r="A22" s="2" t="s">
        <v>52</v>
      </c>
      <c r="B22" s="18"/>
      <c r="C22" s="35"/>
      <c r="D22" s="58" t="s">
        <v>53</v>
      </c>
      <c r="E22" s="35"/>
      <c r="F22" s="43"/>
      <c r="G22" s="125"/>
      <c r="H22" s="125"/>
      <c r="I22" s="125">
        <f>I23</f>
        <v>1197</v>
      </c>
      <c r="K22" s="43"/>
      <c r="L22" s="134"/>
      <c r="M22" s="141">
        <f t="shared" si="0"/>
        <v>0</v>
      </c>
      <c r="N22" s="141">
        <f t="shared" si="1"/>
        <v>0</v>
      </c>
    </row>
    <row r="23" spans="1:14" ht="27.75" customHeight="1" x14ac:dyDescent="0.2">
      <c r="A23" s="27" t="s">
        <v>54</v>
      </c>
      <c r="B23" s="19" t="s">
        <v>24</v>
      </c>
      <c r="C23" s="34">
        <v>100160</v>
      </c>
      <c r="D23" s="57" t="s">
        <v>55</v>
      </c>
      <c r="E23" s="27" t="s">
        <v>26</v>
      </c>
      <c r="F23" s="45">
        <v>30</v>
      </c>
      <c r="G23" s="45">
        <f t="shared" si="2"/>
        <v>18.84</v>
      </c>
      <c r="H23" s="45">
        <f t="shared" si="3"/>
        <v>21.06</v>
      </c>
      <c r="I23" s="45">
        <f t="shared" si="4"/>
        <v>1197</v>
      </c>
      <c r="K23" s="45">
        <v>23.26</v>
      </c>
      <c r="L23" s="135">
        <v>26</v>
      </c>
      <c r="M23" s="141">
        <f t="shared" si="0"/>
        <v>565.20000000000005</v>
      </c>
      <c r="N23" s="141">
        <f t="shared" si="1"/>
        <v>631.79999999999995</v>
      </c>
    </row>
    <row r="24" spans="1:14" x14ac:dyDescent="0.15">
      <c r="A24" s="2" t="s">
        <v>56</v>
      </c>
      <c r="B24" s="18"/>
      <c r="C24" s="35"/>
      <c r="D24" s="58" t="s">
        <v>57</v>
      </c>
      <c r="E24" s="35"/>
      <c r="F24" s="43"/>
      <c r="G24" s="125"/>
      <c r="H24" s="125"/>
      <c r="I24" s="125">
        <f>SUM(I25:I26)</f>
        <v>996.59999999999991</v>
      </c>
      <c r="K24" s="43"/>
      <c r="L24" s="134"/>
      <c r="M24" s="141">
        <f t="shared" si="0"/>
        <v>0</v>
      </c>
      <c r="N24" s="141">
        <f t="shared" si="1"/>
        <v>0</v>
      </c>
    </row>
    <row r="25" spans="1:14" ht="18" x14ac:dyDescent="0.2">
      <c r="A25" s="27" t="s">
        <v>58</v>
      </c>
      <c r="B25" s="19" t="s">
        <v>24</v>
      </c>
      <c r="C25" s="34">
        <v>210102</v>
      </c>
      <c r="D25" s="57" t="s">
        <v>59</v>
      </c>
      <c r="E25" s="27" t="s">
        <v>26</v>
      </c>
      <c r="F25" s="45">
        <v>60</v>
      </c>
      <c r="G25" s="45">
        <f t="shared" si="2"/>
        <v>2.34</v>
      </c>
      <c r="H25" s="45">
        <f t="shared" si="3"/>
        <v>0.93</v>
      </c>
      <c r="I25" s="45">
        <f t="shared" si="4"/>
        <v>196.2</v>
      </c>
      <c r="K25" s="45">
        <v>2.9</v>
      </c>
      <c r="L25" s="135">
        <v>1.1599999999999999</v>
      </c>
      <c r="M25" s="141">
        <f t="shared" si="0"/>
        <v>140.4</v>
      </c>
      <c r="N25" s="141">
        <f t="shared" si="1"/>
        <v>55.8</v>
      </c>
    </row>
    <row r="26" spans="1:14" x14ac:dyDescent="0.2">
      <c r="A26" s="27" t="s">
        <v>60</v>
      </c>
      <c r="B26" s="19" t="s">
        <v>24</v>
      </c>
      <c r="C26" s="34">
        <v>200403</v>
      </c>
      <c r="D26" s="57" t="s">
        <v>61</v>
      </c>
      <c r="E26" s="27" t="s">
        <v>26</v>
      </c>
      <c r="F26" s="45">
        <v>60</v>
      </c>
      <c r="G26" s="45">
        <f t="shared" si="2"/>
        <v>1.93</v>
      </c>
      <c r="H26" s="45">
        <f t="shared" si="3"/>
        <v>11.41</v>
      </c>
      <c r="I26" s="45">
        <f t="shared" si="4"/>
        <v>800.4</v>
      </c>
      <c r="K26" s="45">
        <v>2.39</v>
      </c>
      <c r="L26" s="135">
        <v>14.09</v>
      </c>
      <c r="M26" s="141">
        <f t="shared" si="0"/>
        <v>115.8</v>
      </c>
      <c r="N26" s="141">
        <f t="shared" si="1"/>
        <v>684.6</v>
      </c>
    </row>
    <row r="27" spans="1:14" x14ac:dyDescent="0.15">
      <c r="A27" s="2" t="s">
        <v>62</v>
      </c>
      <c r="B27" s="18"/>
      <c r="C27" s="35"/>
      <c r="D27" s="58" t="s">
        <v>63</v>
      </c>
      <c r="E27" s="35"/>
      <c r="F27" s="43"/>
      <c r="G27" s="125"/>
      <c r="H27" s="125"/>
      <c r="I27" s="125">
        <f>SUM(I28:I29)</f>
        <v>1307.81</v>
      </c>
      <c r="K27" s="43"/>
      <c r="L27" s="134"/>
      <c r="M27" s="141">
        <f t="shared" si="0"/>
        <v>0</v>
      </c>
      <c r="N27" s="141">
        <f t="shared" si="1"/>
        <v>0</v>
      </c>
    </row>
    <row r="28" spans="1:14" ht="18" x14ac:dyDescent="0.2">
      <c r="A28" s="27" t="s">
        <v>64</v>
      </c>
      <c r="B28" s="19" t="s">
        <v>24</v>
      </c>
      <c r="C28" s="34">
        <v>261000</v>
      </c>
      <c r="D28" s="57" t="s">
        <v>65</v>
      </c>
      <c r="E28" s="27" t="s">
        <v>26</v>
      </c>
      <c r="F28" s="45">
        <v>60</v>
      </c>
      <c r="G28" s="45">
        <f t="shared" si="2"/>
        <v>3.98</v>
      </c>
      <c r="H28" s="45">
        <f t="shared" si="3"/>
        <v>5.92</v>
      </c>
      <c r="I28" s="45">
        <f t="shared" si="4"/>
        <v>594</v>
      </c>
      <c r="K28" s="45">
        <v>4.92</v>
      </c>
      <c r="L28" s="135">
        <v>7.32</v>
      </c>
      <c r="M28" s="141">
        <f t="shared" si="0"/>
        <v>238.8</v>
      </c>
      <c r="N28" s="141">
        <f t="shared" si="1"/>
        <v>355.2</v>
      </c>
    </row>
    <row r="29" spans="1:14" ht="18" x14ac:dyDescent="0.2">
      <c r="A29" s="27" t="s">
        <v>66</v>
      </c>
      <c r="B29" s="19" t="s">
        <v>24</v>
      </c>
      <c r="C29" s="34">
        <v>261602</v>
      </c>
      <c r="D29" s="57" t="s">
        <v>67</v>
      </c>
      <c r="E29" s="27" t="s">
        <v>26</v>
      </c>
      <c r="F29" s="45">
        <v>38.46</v>
      </c>
      <c r="G29" s="45">
        <f t="shared" si="2"/>
        <v>7.68</v>
      </c>
      <c r="H29" s="45">
        <f t="shared" si="3"/>
        <v>10.88</v>
      </c>
      <c r="I29" s="45">
        <f t="shared" si="4"/>
        <v>713.81</v>
      </c>
      <c r="K29" s="45">
        <v>9.49</v>
      </c>
      <c r="L29" s="135">
        <v>13.44</v>
      </c>
      <c r="M29" s="141">
        <f t="shared" si="0"/>
        <v>295.37</v>
      </c>
      <c r="N29" s="141">
        <f t="shared" si="1"/>
        <v>418.44</v>
      </c>
    </row>
    <row r="30" spans="1:14" ht="18" x14ac:dyDescent="0.15">
      <c r="A30" s="30">
        <v>3</v>
      </c>
      <c r="B30" s="20"/>
      <c r="C30" s="33"/>
      <c r="D30" s="59" t="s">
        <v>8</v>
      </c>
      <c r="E30" s="38" t="s">
        <v>20</v>
      </c>
      <c r="F30" s="41"/>
      <c r="G30" s="41"/>
      <c r="H30" s="41"/>
      <c r="I30" s="126">
        <f>SUM(I31,I33,I35,I43,I66,I71,I109,I111,I113,I117,I120)</f>
        <v>367102.92</v>
      </c>
      <c r="K30" s="41"/>
      <c r="L30" s="136"/>
      <c r="M30" s="141">
        <f t="shared" si="0"/>
        <v>0</v>
      </c>
      <c r="N30" s="141">
        <f t="shared" si="1"/>
        <v>0</v>
      </c>
    </row>
    <row r="31" spans="1:14" x14ac:dyDescent="0.15">
      <c r="A31" s="2" t="s">
        <v>68</v>
      </c>
      <c r="B31" s="18"/>
      <c r="C31" s="35"/>
      <c r="D31" s="58" t="s">
        <v>22</v>
      </c>
      <c r="E31" s="35"/>
      <c r="F31" s="43"/>
      <c r="G31" s="125"/>
      <c r="H31" s="125"/>
      <c r="I31" s="125">
        <f>I32</f>
        <v>3315.25</v>
      </c>
      <c r="K31" s="43"/>
      <c r="L31" s="134"/>
      <c r="M31" s="141">
        <f t="shared" si="0"/>
        <v>0</v>
      </c>
      <c r="N31" s="141">
        <f t="shared" si="1"/>
        <v>0</v>
      </c>
    </row>
    <row r="32" spans="1:14" ht="36" x14ac:dyDescent="0.2">
      <c r="A32" s="27" t="s">
        <v>69</v>
      </c>
      <c r="B32" s="21" t="s">
        <v>24</v>
      </c>
      <c r="C32" s="34">
        <v>20701</v>
      </c>
      <c r="D32" s="57" t="s">
        <v>70</v>
      </c>
      <c r="E32" s="27" t="s">
        <v>26</v>
      </c>
      <c r="F32" s="45">
        <v>745</v>
      </c>
      <c r="G32" s="45">
        <f t="shared" si="2"/>
        <v>3.24</v>
      </c>
      <c r="H32" s="45">
        <f t="shared" si="3"/>
        <v>1.21</v>
      </c>
      <c r="I32" s="45">
        <f t="shared" si="4"/>
        <v>3315.25</v>
      </c>
      <c r="K32" s="45">
        <v>4.01</v>
      </c>
      <c r="L32" s="135">
        <v>1.5</v>
      </c>
      <c r="M32" s="141">
        <f t="shared" si="0"/>
        <v>2413.8000000000002</v>
      </c>
      <c r="N32" s="141">
        <f t="shared" si="1"/>
        <v>901.45</v>
      </c>
    </row>
    <row r="33" spans="1:14" x14ac:dyDescent="0.15">
      <c r="A33" s="2" t="s">
        <v>71</v>
      </c>
      <c r="B33" s="18"/>
      <c r="C33" s="35"/>
      <c r="D33" s="58" t="s">
        <v>49</v>
      </c>
      <c r="E33" s="35"/>
      <c r="F33" s="43"/>
      <c r="G33" s="125"/>
      <c r="H33" s="125"/>
      <c r="I33" s="125">
        <f>I34</f>
        <v>417.48</v>
      </c>
      <c r="K33" s="43"/>
      <c r="L33" s="134"/>
      <c r="M33" s="141">
        <f t="shared" si="0"/>
        <v>0</v>
      </c>
      <c r="N33" s="141">
        <f t="shared" si="1"/>
        <v>0</v>
      </c>
    </row>
    <row r="34" spans="1:14" ht="18" x14ac:dyDescent="0.2">
      <c r="A34" s="27" t="s">
        <v>72</v>
      </c>
      <c r="B34" s="19" t="s">
        <v>24</v>
      </c>
      <c r="C34" s="34">
        <v>30101</v>
      </c>
      <c r="D34" s="57" t="s">
        <v>51</v>
      </c>
      <c r="E34" s="27" t="s">
        <v>43</v>
      </c>
      <c r="F34" s="45">
        <v>12</v>
      </c>
      <c r="G34" s="45">
        <f t="shared" si="2"/>
        <v>27.62</v>
      </c>
      <c r="H34" s="45">
        <f t="shared" si="3"/>
        <v>7.17</v>
      </c>
      <c r="I34" s="45">
        <f t="shared" si="4"/>
        <v>417.48</v>
      </c>
      <c r="K34" s="45">
        <v>34.11</v>
      </c>
      <c r="L34" s="135">
        <v>8.86</v>
      </c>
      <c r="M34" s="141">
        <f t="shared" si="0"/>
        <v>331.44</v>
      </c>
      <c r="N34" s="141">
        <f t="shared" si="1"/>
        <v>86.04</v>
      </c>
    </row>
    <row r="35" spans="1:14" x14ac:dyDescent="0.15">
      <c r="A35" s="2" t="s">
        <v>73</v>
      </c>
      <c r="B35" s="18"/>
      <c r="C35" s="35"/>
      <c r="D35" s="58" t="s">
        <v>74</v>
      </c>
      <c r="E35" s="35"/>
      <c r="F35" s="43"/>
      <c r="G35" s="125"/>
      <c r="H35" s="125"/>
      <c r="I35" s="125">
        <f>SUM(I36,I40)</f>
        <v>3558.0699999999997</v>
      </c>
      <c r="K35" s="43"/>
      <c r="L35" s="134"/>
      <c r="M35" s="141">
        <f t="shared" si="0"/>
        <v>0</v>
      </c>
      <c r="N35" s="141">
        <f t="shared" si="1"/>
        <v>0</v>
      </c>
    </row>
    <row r="36" spans="1:14" ht="18" x14ac:dyDescent="0.15">
      <c r="A36" s="31" t="s">
        <v>75</v>
      </c>
      <c r="B36" s="22"/>
      <c r="C36" s="36"/>
      <c r="D36" s="60" t="s">
        <v>76</v>
      </c>
      <c r="E36" s="36"/>
      <c r="F36" s="46"/>
      <c r="G36" s="46"/>
      <c r="H36" s="46"/>
      <c r="I36" s="127">
        <f>SUM(I37:I39)</f>
        <v>3243.1</v>
      </c>
      <c r="K36" s="46"/>
      <c r="L36" s="137"/>
      <c r="M36" s="141">
        <f t="shared" si="0"/>
        <v>0</v>
      </c>
      <c r="N36" s="141">
        <f t="shared" si="1"/>
        <v>0</v>
      </c>
    </row>
    <row r="37" spans="1:14" ht="18" x14ac:dyDescent="0.2">
      <c r="A37" s="27" t="s">
        <v>77</v>
      </c>
      <c r="B37" s="19" t="s">
        <v>24</v>
      </c>
      <c r="C37" s="34">
        <v>50901</v>
      </c>
      <c r="D37" s="57" t="s">
        <v>78</v>
      </c>
      <c r="E37" s="27" t="s">
        <v>43</v>
      </c>
      <c r="F37" s="45">
        <v>86.61</v>
      </c>
      <c r="G37" s="45">
        <f t="shared" si="2"/>
        <v>0</v>
      </c>
      <c r="H37" s="45">
        <f t="shared" si="3"/>
        <v>32.4</v>
      </c>
      <c r="I37" s="45">
        <f t="shared" si="4"/>
        <v>2806.16</v>
      </c>
      <c r="K37" s="45">
        <v>0</v>
      </c>
      <c r="L37" s="135">
        <v>40</v>
      </c>
      <c r="M37" s="141">
        <f t="shared" si="0"/>
        <v>0</v>
      </c>
      <c r="N37" s="141">
        <f t="shared" si="1"/>
        <v>2806.16</v>
      </c>
    </row>
    <row r="38" spans="1:14" x14ac:dyDescent="0.2">
      <c r="A38" s="27" t="s">
        <v>79</v>
      </c>
      <c r="B38" s="19" t="s">
        <v>24</v>
      </c>
      <c r="C38" s="34">
        <v>50902</v>
      </c>
      <c r="D38" s="57" t="s">
        <v>80</v>
      </c>
      <c r="E38" s="27" t="s">
        <v>26</v>
      </c>
      <c r="F38" s="45">
        <v>31.68</v>
      </c>
      <c r="G38" s="45">
        <f t="shared" si="2"/>
        <v>0</v>
      </c>
      <c r="H38" s="45">
        <f t="shared" si="3"/>
        <v>3.98</v>
      </c>
      <c r="I38" s="45">
        <f t="shared" si="4"/>
        <v>126.08</v>
      </c>
      <c r="K38" s="45">
        <v>0</v>
      </c>
      <c r="L38" s="135">
        <v>4.92</v>
      </c>
      <c r="M38" s="141">
        <f t="shared" si="0"/>
        <v>0</v>
      </c>
      <c r="N38" s="141">
        <f t="shared" si="1"/>
        <v>126.08</v>
      </c>
    </row>
    <row r="39" spans="1:14" x14ac:dyDescent="0.2">
      <c r="A39" s="27" t="s">
        <v>81</v>
      </c>
      <c r="B39" s="19" t="s">
        <v>24</v>
      </c>
      <c r="C39" s="34">
        <v>40902</v>
      </c>
      <c r="D39" s="57" t="s">
        <v>82</v>
      </c>
      <c r="E39" s="27" t="s">
        <v>43</v>
      </c>
      <c r="F39" s="45">
        <v>18.34</v>
      </c>
      <c r="G39" s="45">
        <f t="shared" si="2"/>
        <v>0</v>
      </c>
      <c r="H39" s="45">
        <f t="shared" si="3"/>
        <v>16.95</v>
      </c>
      <c r="I39" s="45">
        <f t="shared" si="4"/>
        <v>310.86</v>
      </c>
      <c r="K39" s="45">
        <v>0</v>
      </c>
      <c r="L39" s="135">
        <v>20.93</v>
      </c>
      <c r="M39" s="141">
        <f t="shared" si="0"/>
        <v>0</v>
      </c>
      <c r="N39" s="141">
        <f t="shared" si="1"/>
        <v>310.86</v>
      </c>
    </row>
    <row r="40" spans="1:14" ht="18" x14ac:dyDescent="0.15">
      <c r="A40" s="31" t="s">
        <v>83</v>
      </c>
      <c r="B40" s="22"/>
      <c r="C40" s="36"/>
      <c r="D40" s="60" t="s">
        <v>84</v>
      </c>
      <c r="E40" s="36"/>
      <c r="F40" s="46"/>
      <c r="G40" s="127"/>
      <c r="H40" s="127"/>
      <c r="I40" s="127">
        <f>SUM(I41:I42)</f>
        <v>314.97000000000003</v>
      </c>
      <c r="K40" s="46"/>
      <c r="L40" s="137"/>
      <c r="M40" s="141">
        <f t="shared" si="0"/>
        <v>0</v>
      </c>
      <c r="N40" s="141">
        <f t="shared" si="1"/>
        <v>0</v>
      </c>
    </row>
    <row r="41" spans="1:14" ht="18" x14ac:dyDescent="0.2">
      <c r="A41" s="27" t="s">
        <v>85</v>
      </c>
      <c r="B41" s="19" t="s">
        <v>24</v>
      </c>
      <c r="C41" s="34">
        <v>40101</v>
      </c>
      <c r="D41" s="57" t="s">
        <v>86</v>
      </c>
      <c r="E41" s="27" t="s">
        <v>43</v>
      </c>
      <c r="F41" s="45">
        <v>9</v>
      </c>
      <c r="G41" s="45">
        <f t="shared" si="2"/>
        <v>0</v>
      </c>
      <c r="H41" s="45">
        <f t="shared" si="3"/>
        <v>25.58</v>
      </c>
      <c r="I41" s="45">
        <f t="shared" si="4"/>
        <v>230.22</v>
      </c>
      <c r="K41" s="45">
        <v>0</v>
      </c>
      <c r="L41" s="135">
        <v>31.59</v>
      </c>
      <c r="M41" s="141">
        <f t="shared" si="0"/>
        <v>0</v>
      </c>
      <c r="N41" s="141">
        <f t="shared" si="1"/>
        <v>230.22</v>
      </c>
    </row>
    <row r="42" spans="1:14" x14ac:dyDescent="0.2">
      <c r="A42" s="27" t="s">
        <v>87</v>
      </c>
      <c r="B42" s="19" t="s">
        <v>24</v>
      </c>
      <c r="C42" s="34">
        <v>40902</v>
      </c>
      <c r="D42" s="57" t="s">
        <v>82</v>
      </c>
      <c r="E42" s="27" t="s">
        <v>43</v>
      </c>
      <c r="F42" s="45">
        <v>5</v>
      </c>
      <c r="G42" s="45">
        <f t="shared" si="2"/>
        <v>0</v>
      </c>
      <c r="H42" s="45">
        <f t="shared" si="3"/>
        <v>16.95</v>
      </c>
      <c r="I42" s="45">
        <f t="shared" si="4"/>
        <v>84.75</v>
      </c>
      <c r="K42" s="45">
        <v>0</v>
      </c>
      <c r="L42" s="135">
        <v>20.93</v>
      </c>
      <c r="M42" s="141">
        <f t="shared" si="0"/>
        <v>0</v>
      </c>
      <c r="N42" s="141">
        <f t="shared" si="1"/>
        <v>84.75</v>
      </c>
    </row>
    <row r="43" spans="1:14" x14ac:dyDescent="0.15">
      <c r="A43" s="2" t="s">
        <v>88</v>
      </c>
      <c r="B43" s="18"/>
      <c r="C43" s="35"/>
      <c r="D43" s="58" t="s">
        <v>89</v>
      </c>
      <c r="E43" s="35"/>
      <c r="F43" s="43"/>
      <c r="G43" s="125"/>
      <c r="H43" s="125"/>
      <c r="I43" s="125">
        <f>SUM(I44,I55,I64)</f>
        <v>30027.18</v>
      </c>
      <c r="K43" s="43"/>
      <c r="L43" s="134"/>
      <c r="M43" s="141">
        <f t="shared" si="0"/>
        <v>0</v>
      </c>
      <c r="N43" s="141">
        <f t="shared" si="1"/>
        <v>0</v>
      </c>
    </row>
    <row r="44" spans="1:14" x14ac:dyDescent="0.15">
      <c r="A44" s="31" t="s">
        <v>90</v>
      </c>
      <c r="B44" s="22"/>
      <c r="C44" s="36"/>
      <c r="D44" s="60" t="s">
        <v>91</v>
      </c>
      <c r="E44" s="36"/>
      <c r="F44" s="46"/>
      <c r="G44" s="46"/>
      <c r="H44" s="46"/>
      <c r="I44" s="127">
        <f>SUM(I45:I54)</f>
        <v>15869.74</v>
      </c>
      <c r="K44" s="46"/>
      <c r="L44" s="137"/>
      <c r="M44" s="141">
        <f t="shared" si="0"/>
        <v>0</v>
      </c>
      <c r="N44" s="141">
        <f t="shared" si="1"/>
        <v>0</v>
      </c>
    </row>
    <row r="45" spans="1:14" x14ac:dyDescent="0.2">
      <c r="A45" s="27" t="s">
        <v>92</v>
      </c>
      <c r="B45" s="19" t="s">
        <v>24</v>
      </c>
      <c r="C45" s="34">
        <v>50302</v>
      </c>
      <c r="D45" s="57" t="s">
        <v>93</v>
      </c>
      <c r="E45" s="27" t="s">
        <v>94</v>
      </c>
      <c r="F45" s="45">
        <v>80</v>
      </c>
      <c r="G45" s="45">
        <f t="shared" si="2"/>
        <v>23.21</v>
      </c>
      <c r="H45" s="45">
        <f t="shared" si="3"/>
        <v>28.08</v>
      </c>
      <c r="I45" s="45">
        <f t="shared" si="4"/>
        <v>4103.2</v>
      </c>
      <c r="K45" s="45">
        <v>28.66</v>
      </c>
      <c r="L45" s="135">
        <v>34.67</v>
      </c>
      <c r="M45" s="141">
        <f t="shared" si="0"/>
        <v>1856.8</v>
      </c>
      <c r="N45" s="141">
        <f t="shared" si="1"/>
        <v>2246.4</v>
      </c>
    </row>
    <row r="46" spans="1:14" ht="18" x14ac:dyDescent="0.2">
      <c r="A46" s="27" t="s">
        <v>95</v>
      </c>
      <c r="B46" s="19" t="s">
        <v>24</v>
      </c>
      <c r="C46" s="34">
        <v>50901</v>
      </c>
      <c r="D46" s="57" t="s">
        <v>78</v>
      </c>
      <c r="E46" s="27" t="s">
        <v>43</v>
      </c>
      <c r="F46" s="45">
        <v>11.78</v>
      </c>
      <c r="G46" s="45">
        <f t="shared" si="2"/>
        <v>0</v>
      </c>
      <c r="H46" s="45">
        <f t="shared" si="3"/>
        <v>32.4</v>
      </c>
      <c r="I46" s="45">
        <f t="shared" si="4"/>
        <v>381.67</v>
      </c>
      <c r="K46" s="45">
        <v>0</v>
      </c>
      <c r="L46" s="135">
        <v>40</v>
      </c>
      <c r="M46" s="141">
        <f t="shared" si="0"/>
        <v>0</v>
      </c>
      <c r="N46" s="141">
        <f t="shared" si="1"/>
        <v>381.67</v>
      </c>
    </row>
    <row r="47" spans="1:14" x14ac:dyDescent="0.2">
      <c r="A47" s="27" t="s">
        <v>96</v>
      </c>
      <c r="B47" s="19" t="s">
        <v>24</v>
      </c>
      <c r="C47" s="34">
        <v>50902</v>
      </c>
      <c r="D47" s="57" t="s">
        <v>80</v>
      </c>
      <c r="E47" s="27" t="s">
        <v>26</v>
      </c>
      <c r="F47" s="45">
        <v>12.8</v>
      </c>
      <c r="G47" s="45">
        <f t="shared" si="2"/>
        <v>0</v>
      </c>
      <c r="H47" s="45">
        <f t="shared" si="3"/>
        <v>3.98</v>
      </c>
      <c r="I47" s="45">
        <f t="shared" si="4"/>
        <v>50.94</v>
      </c>
      <c r="K47" s="45">
        <v>0</v>
      </c>
      <c r="L47" s="135">
        <v>4.92</v>
      </c>
      <c r="M47" s="141">
        <f t="shared" si="0"/>
        <v>0</v>
      </c>
      <c r="N47" s="141">
        <f t="shared" si="1"/>
        <v>50.94</v>
      </c>
    </row>
    <row r="48" spans="1:14" ht="18" x14ac:dyDescent="0.2">
      <c r="A48" s="27" t="s">
        <v>97</v>
      </c>
      <c r="B48" s="19" t="s">
        <v>24</v>
      </c>
      <c r="C48" s="34">
        <v>51030</v>
      </c>
      <c r="D48" s="57" t="s">
        <v>98</v>
      </c>
      <c r="E48" s="27" t="s">
        <v>43</v>
      </c>
      <c r="F48" s="45">
        <v>11.78</v>
      </c>
      <c r="G48" s="45">
        <f t="shared" si="2"/>
        <v>318.70999999999998</v>
      </c>
      <c r="H48" s="45">
        <f t="shared" si="3"/>
        <v>59.14</v>
      </c>
      <c r="I48" s="45">
        <f t="shared" si="4"/>
        <v>4451.07</v>
      </c>
      <c r="K48" s="45">
        <v>393.48</v>
      </c>
      <c r="L48" s="135">
        <v>73.02</v>
      </c>
      <c r="M48" s="141">
        <f t="shared" si="0"/>
        <v>3754.4</v>
      </c>
      <c r="N48" s="141">
        <f t="shared" si="1"/>
        <v>696.66</v>
      </c>
    </row>
    <row r="49" spans="1:14" ht="18" x14ac:dyDescent="0.2">
      <c r="A49" s="27" t="s">
        <v>99</v>
      </c>
      <c r="B49" s="19" t="s">
        <v>24</v>
      </c>
      <c r="C49" s="34">
        <v>51055</v>
      </c>
      <c r="D49" s="57" t="s">
        <v>100</v>
      </c>
      <c r="E49" s="27" t="s">
        <v>43</v>
      </c>
      <c r="F49" s="45">
        <v>12.42</v>
      </c>
      <c r="G49" s="45">
        <f t="shared" si="2"/>
        <v>0</v>
      </c>
      <c r="H49" s="45">
        <f t="shared" si="3"/>
        <v>36.229999999999997</v>
      </c>
      <c r="I49" s="45">
        <f t="shared" si="4"/>
        <v>449.97</v>
      </c>
      <c r="K49" s="45">
        <v>0</v>
      </c>
      <c r="L49" s="135">
        <v>44.74</v>
      </c>
      <c r="M49" s="141">
        <f t="shared" si="0"/>
        <v>0</v>
      </c>
      <c r="N49" s="141">
        <f t="shared" si="1"/>
        <v>449.97</v>
      </c>
    </row>
    <row r="50" spans="1:14" ht="27" x14ac:dyDescent="0.2">
      <c r="A50" s="27" t="s">
        <v>101</v>
      </c>
      <c r="B50" s="19" t="s">
        <v>102</v>
      </c>
      <c r="C50" s="34">
        <v>94974</v>
      </c>
      <c r="D50" s="57" t="s">
        <v>103</v>
      </c>
      <c r="E50" s="27" t="s">
        <v>43</v>
      </c>
      <c r="F50" s="45">
        <v>0.64</v>
      </c>
      <c r="G50" s="45">
        <f t="shared" si="2"/>
        <v>290.39999999999998</v>
      </c>
      <c r="H50" s="45">
        <f t="shared" si="3"/>
        <v>62.61</v>
      </c>
      <c r="I50" s="45">
        <f t="shared" si="4"/>
        <v>225.92</v>
      </c>
      <c r="K50" s="45">
        <v>358.52</v>
      </c>
      <c r="L50" s="135">
        <v>77.3</v>
      </c>
      <c r="M50" s="141">
        <f t="shared" si="0"/>
        <v>185.85</v>
      </c>
      <c r="N50" s="141">
        <f t="shared" si="1"/>
        <v>40.07</v>
      </c>
    </row>
    <row r="51" spans="1:14" x14ac:dyDescent="0.2">
      <c r="A51" s="27" t="s">
        <v>104</v>
      </c>
      <c r="B51" s="19" t="s">
        <v>24</v>
      </c>
      <c r="C51" s="34">
        <v>52004</v>
      </c>
      <c r="D51" s="57" t="s">
        <v>105</v>
      </c>
      <c r="E51" s="27" t="s">
        <v>106</v>
      </c>
      <c r="F51" s="45">
        <v>146</v>
      </c>
      <c r="G51" s="45">
        <f t="shared" si="2"/>
        <v>7.38</v>
      </c>
      <c r="H51" s="45">
        <f t="shared" si="3"/>
        <v>2.14</v>
      </c>
      <c r="I51" s="45">
        <f t="shared" si="4"/>
        <v>1389.92</v>
      </c>
      <c r="K51" s="45">
        <v>9.1199999999999992</v>
      </c>
      <c r="L51" s="135">
        <v>2.65</v>
      </c>
      <c r="M51" s="141">
        <f t="shared" si="0"/>
        <v>1077.48</v>
      </c>
      <c r="N51" s="141">
        <f t="shared" si="1"/>
        <v>312.44</v>
      </c>
    </row>
    <row r="52" spans="1:14" x14ac:dyDescent="0.2">
      <c r="A52" s="27" t="s">
        <v>107</v>
      </c>
      <c r="B52" s="19" t="s">
        <v>24</v>
      </c>
      <c r="C52" s="34">
        <v>52005</v>
      </c>
      <c r="D52" s="57" t="s">
        <v>108</v>
      </c>
      <c r="E52" s="27" t="s">
        <v>106</v>
      </c>
      <c r="F52" s="45">
        <v>222</v>
      </c>
      <c r="G52" s="45">
        <f t="shared" si="2"/>
        <v>7.11</v>
      </c>
      <c r="H52" s="45">
        <f t="shared" si="3"/>
        <v>2.14</v>
      </c>
      <c r="I52" s="45">
        <f t="shared" si="4"/>
        <v>2053.5</v>
      </c>
      <c r="K52" s="45">
        <v>8.7899999999999991</v>
      </c>
      <c r="L52" s="135">
        <v>2.65</v>
      </c>
      <c r="M52" s="141">
        <f t="shared" si="0"/>
        <v>1578.42</v>
      </c>
      <c r="N52" s="141">
        <f t="shared" si="1"/>
        <v>475.08</v>
      </c>
    </row>
    <row r="53" spans="1:14" x14ac:dyDescent="0.2">
      <c r="A53" s="27" t="s">
        <v>109</v>
      </c>
      <c r="B53" s="19" t="s">
        <v>24</v>
      </c>
      <c r="C53" s="34">
        <v>52008</v>
      </c>
      <c r="D53" s="57" t="s">
        <v>110</v>
      </c>
      <c r="E53" s="27" t="s">
        <v>106</v>
      </c>
      <c r="F53" s="45">
        <v>109</v>
      </c>
      <c r="G53" s="45">
        <f t="shared" si="2"/>
        <v>6.87</v>
      </c>
      <c r="H53" s="45">
        <f t="shared" si="3"/>
        <v>2.68</v>
      </c>
      <c r="I53" s="45">
        <f t="shared" si="4"/>
        <v>1040.95</v>
      </c>
      <c r="K53" s="45">
        <v>8.49</v>
      </c>
      <c r="L53" s="135">
        <v>3.32</v>
      </c>
      <c r="M53" s="141">
        <f t="shared" si="0"/>
        <v>748.83</v>
      </c>
      <c r="N53" s="141">
        <f t="shared" si="1"/>
        <v>292.12</v>
      </c>
    </row>
    <row r="54" spans="1:14" x14ac:dyDescent="0.2">
      <c r="A54" s="27" t="s">
        <v>111</v>
      </c>
      <c r="B54" s="19" t="s">
        <v>24</v>
      </c>
      <c r="C54" s="34">
        <v>52014</v>
      </c>
      <c r="D54" s="57" t="s">
        <v>112</v>
      </c>
      <c r="E54" s="27" t="s">
        <v>106</v>
      </c>
      <c r="F54" s="45">
        <v>165</v>
      </c>
      <c r="G54" s="45">
        <f t="shared" si="2"/>
        <v>8.57</v>
      </c>
      <c r="H54" s="45">
        <f t="shared" si="3"/>
        <v>1.87</v>
      </c>
      <c r="I54" s="45">
        <f t="shared" si="4"/>
        <v>1722.6</v>
      </c>
      <c r="K54" s="45">
        <v>10.59</v>
      </c>
      <c r="L54" s="135">
        <v>2.3199999999999998</v>
      </c>
      <c r="M54" s="141">
        <f t="shared" si="0"/>
        <v>1414.05</v>
      </c>
      <c r="N54" s="141">
        <f t="shared" si="1"/>
        <v>308.55</v>
      </c>
    </row>
    <row r="55" spans="1:14" x14ac:dyDescent="0.15">
      <c r="A55" s="31" t="s">
        <v>113</v>
      </c>
      <c r="B55" s="22"/>
      <c r="C55" s="36"/>
      <c r="D55" s="60" t="s">
        <v>114</v>
      </c>
      <c r="E55" s="36"/>
      <c r="F55" s="46"/>
      <c r="G55" s="127"/>
      <c r="H55" s="127"/>
      <c r="I55" s="127">
        <f>SUM(I56:I63)</f>
        <v>12332.119999999999</v>
      </c>
      <c r="K55" s="46"/>
      <c r="L55" s="137"/>
      <c r="M55" s="141">
        <f t="shared" si="0"/>
        <v>0</v>
      </c>
      <c r="N55" s="141">
        <f t="shared" si="1"/>
        <v>0</v>
      </c>
    </row>
    <row r="56" spans="1:14" ht="18" x14ac:dyDescent="0.2">
      <c r="A56" s="27" t="s">
        <v>115</v>
      </c>
      <c r="B56" s="19" t="s">
        <v>24</v>
      </c>
      <c r="C56" s="34">
        <v>40101</v>
      </c>
      <c r="D56" s="57" t="s">
        <v>86</v>
      </c>
      <c r="E56" s="27" t="s">
        <v>43</v>
      </c>
      <c r="F56" s="45">
        <v>17.8</v>
      </c>
      <c r="G56" s="45">
        <f t="shared" si="2"/>
        <v>0</v>
      </c>
      <c r="H56" s="45">
        <f t="shared" si="3"/>
        <v>25.58</v>
      </c>
      <c r="I56" s="45">
        <f t="shared" si="4"/>
        <v>455.32</v>
      </c>
      <c r="K56" s="45">
        <v>0</v>
      </c>
      <c r="L56" s="135">
        <v>31.59</v>
      </c>
      <c r="M56" s="141">
        <f t="shared" si="0"/>
        <v>0</v>
      </c>
      <c r="N56" s="141">
        <f t="shared" si="1"/>
        <v>455.32</v>
      </c>
    </row>
    <row r="57" spans="1:14" x14ac:dyDescent="0.2">
      <c r="A57" s="27" t="s">
        <v>116</v>
      </c>
      <c r="B57" s="19" t="s">
        <v>24</v>
      </c>
      <c r="C57" s="34">
        <v>40902</v>
      </c>
      <c r="D57" s="57" t="s">
        <v>82</v>
      </c>
      <c r="E57" s="27" t="s">
        <v>43</v>
      </c>
      <c r="F57" s="45">
        <v>8.9</v>
      </c>
      <c r="G57" s="45">
        <f t="shared" si="2"/>
        <v>0</v>
      </c>
      <c r="H57" s="45">
        <f t="shared" si="3"/>
        <v>16.95</v>
      </c>
      <c r="I57" s="45">
        <f t="shared" si="4"/>
        <v>150.85</v>
      </c>
      <c r="K57" s="45">
        <v>0</v>
      </c>
      <c r="L57" s="135">
        <v>20.93</v>
      </c>
      <c r="M57" s="141">
        <f t="shared" si="0"/>
        <v>0</v>
      </c>
      <c r="N57" s="141">
        <f t="shared" si="1"/>
        <v>150.85</v>
      </c>
    </row>
    <row r="58" spans="1:14" x14ac:dyDescent="0.2">
      <c r="A58" s="27" t="s">
        <v>117</v>
      </c>
      <c r="B58" s="19" t="s">
        <v>24</v>
      </c>
      <c r="C58" s="34">
        <v>60191</v>
      </c>
      <c r="D58" s="57" t="s">
        <v>118</v>
      </c>
      <c r="E58" s="27" t="s">
        <v>26</v>
      </c>
      <c r="F58" s="45">
        <v>111.2</v>
      </c>
      <c r="G58" s="45">
        <f t="shared" si="2"/>
        <v>21.28</v>
      </c>
      <c r="H58" s="45">
        <f t="shared" si="3"/>
        <v>8.18</v>
      </c>
      <c r="I58" s="45">
        <f t="shared" si="4"/>
        <v>3275.95</v>
      </c>
      <c r="K58" s="45">
        <v>26.28</v>
      </c>
      <c r="L58" s="135">
        <v>10.1</v>
      </c>
      <c r="M58" s="141">
        <f t="shared" si="0"/>
        <v>2366.33</v>
      </c>
      <c r="N58" s="141">
        <f t="shared" si="1"/>
        <v>909.61</v>
      </c>
    </row>
    <row r="59" spans="1:14" ht="18" x14ac:dyDescent="0.2">
      <c r="A59" s="27" t="s">
        <v>119</v>
      </c>
      <c r="B59" s="19" t="s">
        <v>24</v>
      </c>
      <c r="C59" s="34">
        <v>51030</v>
      </c>
      <c r="D59" s="57" t="s">
        <v>98</v>
      </c>
      <c r="E59" s="27" t="s">
        <v>43</v>
      </c>
      <c r="F59" s="45">
        <v>8.9</v>
      </c>
      <c r="G59" s="45">
        <f t="shared" si="2"/>
        <v>318.70999999999998</v>
      </c>
      <c r="H59" s="45">
        <f t="shared" si="3"/>
        <v>59.14</v>
      </c>
      <c r="I59" s="45">
        <f t="shared" si="4"/>
        <v>3362.86</v>
      </c>
      <c r="K59" s="45">
        <v>393.48</v>
      </c>
      <c r="L59" s="135">
        <v>73.02</v>
      </c>
      <c r="M59" s="141">
        <f t="shared" si="0"/>
        <v>2836.51</v>
      </c>
      <c r="N59" s="141">
        <f t="shared" si="1"/>
        <v>526.34</v>
      </c>
    </row>
    <row r="60" spans="1:14" ht="18" x14ac:dyDescent="0.2">
      <c r="A60" s="27" t="s">
        <v>120</v>
      </c>
      <c r="B60" s="19" t="s">
        <v>24</v>
      </c>
      <c r="C60" s="34">
        <v>51055</v>
      </c>
      <c r="D60" s="57" t="s">
        <v>100</v>
      </c>
      <c r="E60" s="27" t="s">
        <v>43</v>
      </c>
      <c r="F60" s="45">
        <v>8.9</v>
      </c>
      <c r="G60" s="45">
        <f t="shared" si="2"/>
        <v>0</v>
      </c>
      <c r="H60" s="45">
        <f t="shared" si="3"/>
        <v>36.229999999999997</v>
      </c>
      <c r="I60" s="45">
        <f t="shared" si="4"/>
        <v>322.44</v>
      </c>
      <c r="K60" s="45">
        <v>0</v>
      </c>
      <c r="L60" s="135">
        <v>44.74</v>
      </c>
      <c r="M60" s="141">
        <f t="shared" si="0"/>
        <v>0</v>
      </c>
      <c r="N60" s="141">
        <f t="shared" si="1"/>
        <v>322.44</v>
      </c>
    </row>
    <row r="61" spans="1:14" x14ac:dyDescent="0.2">
      <c r="A61" s="27" t="s">
        <v>121</v>
      </c>
      <c r="B61" s="19" t="s">
        <v>24</v>
      </c>
      <c r="C61" s="34">
        <v>52004</v>
      </c>
      <c r="D61" s="57" t="s">
        <v>105</v>
      </c>
      <c r="E61" s="27" t="s">
        <v>106</v>
      </c>
      <c r="F61" s="45">
        <v>149</v>
      </c>
      <c r="G61" s="45">
        <f t="shared" si="2"/>
        <v>7.38</v>
      </c>
      <c r="H61" s="45">
        <f t="shared" si="3"/>
        <v>2.14</v>
      </c>
      <c r="I61" s="45">
        <f t="shared" si="4"/>
        <v>1418.48</v>
      </c>
      <c r="K61" s="45">
        <v>9.1199999999999992</v>
      </c>
      <c r="L61" s="135">
        <v>2.65</v>
      </c>
      <c r="M61" s="141">
        <f t="shared" si="0"/>
        <v>1099.6199999999999</v>
      </c>
      <c r="N61" s="141">
        <f t="shared" si="1"/>
        <v>318.86</v>
      </c>
    </row>
    <row r="62" spans="1:14" x14ac:dyDescent="0.2">
      <c r="A62" s="27" t="s">
        <v>122</v>
      </c>
      <c r="B62" s="19" t="s">
        <v>24</v>
      </c>
      <c r="C62" s="34">
        <v>52005</v>
      </c>
      <c r="D62" s="57" t="s">
        <v>108</v>
      </c>
      <c r="E62" s="27" t="s">
        <v>106</v>
      </c>
      <c r="F62" s="45">
        <v>206</v>
      </c>
      <c r="G62" s="45">
        <f t="shared" si="2"/>
        <v>7.11</v>
      </c>
      <c r="H62" s="45">
        <f t="shared" si="3"/>
        <v>2.14</v>
      </c>
      <c r="I62" s="45">
        <f t="shared" si="4"/>
        <v>1905.5</v>
      </c>
      <c r="K62" s="45">
        <v>8.7899999999999991</v>
      </c>
      <c r="L62" s="135">
        <v>2.65</v>
      </c>
      <c r="M62" s="141">
        <f t="shared" si="0"/>
        <v>1464.66</v>
      </c>
      <c r="N62" s="141">
        <f t="shared" si="1"/>
        <v>440.84</v>
      </c>
    </row>
    <row r="63" spans="1:14" x14ac:dyDescent="0.2">
      <c r="A63" s="27" t="s">
        <v>123</v>
      </c>
      <c r="B63" s="19" t="s">
        <v>24</v>
      </c>
      <c r="C63" s="34">
        <v>52014</v>
      </c>
      <c r="D63" s="57" t="s">
        <v>112</v>
      </c>
      <c r="E63" s="27" t="s">
        <v>106</v>
      </c>
      <c r="F63" s="45">
        <v>138</v>
      </c>
      <c r="G63" s="45">
        <f t="shared" si="2"/>
        <v>8.57</v>
      </c>
      <c r="H63" s="45">
        <f t="shared" si="3"/>
        <v>1.87</v>
      </c>
      <c r="I63" s="45">
        <f t="shared" si="4"/>
        <v>1440.72</v>
      </c>
      <c r="K63" s="45">
        <v>10.59</v>
      </c>
      <c r="L63" s="135">
        <v>2.3199999999999998</v>
      </c>
      <c r="M63" s="141">
        <f t="shared" si="0"/>
        <v>1182.6600000000001</v>
      </c>
      <c r="N63" s="141">
        <f t="shared" si="1"/>
        <v>258.06</v>
      </c>
    </row>
    <row r="64" spans="1:14" x14ac:dyDescent="0.15">
      <c r="A64" s="31" t="s">
        <v>124</v>
      </c>
      <c r="B64" s="22"/>
      <c r="C64" s="36"/>
      <c r="D64" s="60" t="s">
        <v>125</v>
      </c>
      <c r="E64" s="36"/>
      <c r="F64" s="46"/>
      <c r="G64" s="127"/>
      <c r="H64" s="127"/>
      <c r="I64" s="127">
        <f>I65</f>
        <v>1825.32</v>
      </c>
      <c r="K64" s="46"/>
      <c r="L64" s="137"/>
      <c r="M64" s="141">
        <f t="shared" si="0"/>
        <v>0</v>
      </c>
      <c r="N64" s="141">
        <f t="shared" si="1"/>
        <v>0</v>
      </c>
    </row>
    <row r="65" spans="1:14" x14ac:dyDescent="0.2">
      <c r="A65" s="27" t="s">
        <v>126</v>
      </c>
      <c r="B65" s="19" t="s">
        <v>24</v>
      </c>
      <c r="C65" s="34">
        <v>50101</v>
      </c>
      <c r="D65" s="57" t="s">
        <v>127</v>
      </c>
      <c r="E65" s="27" t="s">
        <v>94</v>
      </c>
      <c r="F65" s="45">
        <v>28</v>
      </c>
      <c r="G65" s="45">
        <f t="shared" si="2"/>
        <v>65.19</v>
      </c>
      <c r="H65" s="45">
        <f t="shared" si="3"/>
        <v>0</v>
      </c>
      <c r="I65" s="45">
        <f t="shared" si="4"/>
        <v>1825.32</v>
      </c>
      <c r="K65" s="45">
        <v>80.489999999999995</v>
      </c>
      <c r="L65" s="135">
        <v>0</v>
      </c>
      <c r="M65" s="141">
        <f t="shared" si="0"/>
        <v>1825.32</v>
      </c>
      <c r="N65" s="141">
        <f t="shared" si="1"/>
        <v>0</v>
      </c>
    </row>
    <row r="66" spans="1:14" x14ac:dyDescent="0.15">
      <c r="A66" s="2" t="s">
        <v>128</v>
      </c>
      <c r="B66" s="18"/>
      <c r="C66" s="35"/>
      <c r="D66" s="58" t="s">
        <v>129</v>
      </c>
      <c r="E66" s="35"/>
      <c r="F66" s="43"/>
      <c r="G66" s="125"/>
      <c r="H66" s="125"/>
      <c r="I66" s="125">
        <f>I67</f>
        <v>3256.21</v>
      </c>
      <c r="K66" s="43"/>
      <c r="L66" s="134"/>
      <c r="M66" s="141">
        <f t="shared" si="0"/>
        <v>0</v>
      </c>
      <c r="N66" s="141">
        <f t="shared" si="1"/>
        <v>0</v>
      </c>
    </row>
    <row r="67" spans="1:14" x14ac:dyDescent="0.15">
      <c r="A67" s="31" t="s">
        <v>130</v>
      </c>
      <c r="B67" s="22"/>
      <c r="C67" s="36"/>
      <c r="D67" s="60" t="s">
        <v>131</v>
      </c>
      <c r="E67" s="36"/>
      <c r="F67" s="46"/>
      <c r="G67" s="127"/>
      <c r="H67" s="127"/>
      <c r="I67" s="127">
        <f>SUM(I68:I70)</f>
        <v>3256.21</v>
      </c>
      <c r="K67" s="46"/>
      <c r="L67" s="137"/>
      <c r="M67" s="141">
        <f t="shared" si="0"/>
        <v>0</v>
      </c>
      <c r="N67" s="141">
        <f t="shared" si="1"/>
        <v>0</v>
      </c>
    </row>
    <row r="68" spans="1:14" ht="18" x14ac:dyDescent="0.2">
      <c r="A68" s="27" t="s">
        <v>132</v>
      </c>
      <c r="B68" s="19" t="s">
        <v>24</v>
      </c>
      <c r="C68" s="34">
        <v>60204</v>
      </c>
      <c r="D68" s="57" t="s">
        <v>133</v>
      </c>
      <c r="E68" s="27" t="s">
        <v>26</v>
      </c>
      <c r="F68" s="45">
        <v>23.4</v>
      </c>
      <c r="G68" s="45">
        <f t="shared" si="2"/>
        <v>46.03</v>
      </c>
      <c r="H68" s="45">
        <f t="shared" si="3"/>
        <v>31.19</v>
      </c>
      <c r="I68" s="45">
        <f t="shared" si="4"/>
        <v>1806.94</v>
      </c>
      <c r="K68" s="45">
        <v>56.83</v>
      </c>
      <c r="L68" s="135">
        <v>38.51</v>
      </c>
      <c r="M68" s="141">
        <f t="shared" si="0"/>
        <v>1077.0999999999999</v>
      </c>
      <c r="N68" s="141">
        <f t="shared" si="1"/>
        <v>729.84</v>
      </c>
    </row>
    <row r="69" spans="1:14" ht="18" x14ac:dyDescent="0.2">
      <c r="A69" s="27" t="s">
        <v>134</v>
      </c>
      <c r="B69" s="19" t="s">
        <v>24</v>
      </c>
      <c r="C69" s="34">
        <v>60517</v>
      </c>
      <c r="D69" s="57" t="s">
        <v>98</v>
      </c>
      <c r="E69" s="27" t="s">
        <v>43</v>
      </c>
      <c r="F69" s="45">
        <v>3.5</v>
      </c>
      <c r="G69" s="45">
        <f t="shared" si="2"/>
        <v>318.70999999999998</v>
      </c>
      <c r="H69" s="45">
        <f t="shared" si="3"/>
        <v>59.14</v>
      </c>
      <c r="I69" s="45">
        <f t="shared" si="4"/>
        <v>1322.47</v>
      </c>
      <c r="K69" s="45">
        <v>393.48</v>
      </c>
      <c r="L69" s="135">
        <v>73.02</v>
      </c>
      <c r="M69" s="141">
        <f t="shared" si="0"/>
        <v>1115.48</v>
      </c>
      <c r="N69" s="141">
        <f t="shared" si="1"/>
        <v>206.99</v>
      </c>
    </row>
    <row r="70" spans="1:14" ht="18" x14ac:dyDescent="0.2">
      <c r="A70" s="27" t="s">
        <v>135</v>
      </c>
      <c r="B70" s="19" t="s">
        <v>24</v>
      </c>
      <c r="C70" s="34">
        <v>60801</v>
      </c>
      <c r="D70" s="57" t="s">
        <v>136</v>
      </c>
      <c r="E70" s="27" t="s">
        <v>43</v>
      </c>
      <c r="F70" s="45">
        <v>3.5</v>
      </c>
      <c r="G70" s="45">
        <f t="shared" si="2"/>
        <v>0</v>
      </c>
      <c r="H70" s="45">
        <f t="shared" si="3"/>
        <v>36.229999999999997</v>
      </c>
      <c r="I70" s="45">
        <f t="shared" si="4"/>
        <v>126.8</v>
      </c>
      <c r="K70" s="45">
        <v>0</v>
      </c>
      <c r="L70" s="135">
        <v>44.74</v>
      </c>
      <c r="M70" s="141">
        <f t="shared" si="0"/>
        <v>0</v>
      </c>
      <c r="N70" s="141">
        <f t="shared" si="1"/>
        <v>126.8</v>
      </c>
    </row>
    <row r="71" spans="1:14" x14ac:dyDescent="0.15">
      <c r="A71" s="2" t="s">
        <v>137</v>
      </c>
      <c r="B71" s="18"/>
      <c r="C71" s="35"/>
      <c r="D71" s="58" t="s">
        <v>138</v>
      </c>
      <c r="E71" s="35"/>
      <c r="F71" s="43"/>
      <c r="G71" s="125"/>
      <c r="H71" s="125"/>
      <c r="I71" s="125">
        <f>SUM(I72,I99)</f>
        <v>28685.800000000003</v>
      </c>
      <c r="K71" s="43"/>
      <c r="L71" s="134"/>
      <c r="M71" s="141">
        <f t="shared" si="0"/>
        <v>0</v>
      </c>
      <c r="N71" s="141">
        <f t="shared" si="1"/>
        <v>0</v>
      </c>
    </row>
    <row r="72" spans="1:14" x14ac:dyDescent="0.15">
      <c r="A72" s="31" t="s">
        <v>139</v>
      </c>
      <c r="B72" s="22"/>
      <c r="C72" s="36"/>
      <c r="D72" s="60" t="s">
        <v>140</v>
      </c>
      <c r="E72" s="36"/>
      <c r="F72" s="46"/>
      <c r="G72" s="127"/>
      <c r="H72" s="127"/>
      <c r="I72" s="127">
        <f>SUM(I73:I98)</f>
        <v>18001.150000000001</v>
      </c>
      <c r="K72" s="46"/>
      <c r="L72" s="137"/>
      <c r="M72" s="141">
        <f t="shared" si="0"/>
        <v>0</v>
      </c>
      <c r="N72" s="141">
        <f t="shared" si="1"/>
        <v>0</v>
      </c>
    </row>
    <row r="73" spans="1:14" x14ac:dyDescent="0.2">
      <c r="A73" s="27" t="s">
        <v>141</v>
      </c>
      <c r="B73" s="19" t="s">
        <v>24</v>
      </c>
      <c r="C73" s="34">
        <v>70352</v>
      </c>
      <c r="D73" s="57" t="s">
        <v>142</v>
      </c>
      <c r="E73" s="27" t="s">
        <v>20</v>
      </c>
      <c r="F73" s="45">
        <v>50</v>
      </c>
      <c r="G73" s="45">
        <f t="shared" ref="G73:G136" si="5">TRUNC(K73*$K$6,2)</f>
        <v>0.45</v>
      </c>
      <c r="H73" s="45">
        <f t="shared" ref="H73:H136" si="6">TRUNC(L73*$K$6,2)</f>
        <v>0.26</v>
      </c>
      <c r="I73" s="45">
        <f t="shared" ref="I73:I136" si="7">TRUNC(F73*(G73+H73),2)</f>
        <v>35.5</v>
      </c>
      <c r="K73" s="45">
        <v>0.56000000000000005</v>
      </c>
      <c r="L73" s="135">
        <v>0.33</v>
      </c>
      <c r="M73" s="141">
        <f t="shared" ref="M73:M136" si="8">TRUNC(G73*F73,2)</f>
        <v>22.5</v>
      </c>
      <c r="N73" s="141">
        <f t="shared" ref="N73:N136" si="9">TRUNC(H73*F73,2)</f>
        <v>13</v>
      </c>
    </row>
    <row r="74" spans="1:14" x14ac:dyDescent="0.2">
      <c r="A74" s="27" t="s">
        <v>143</v>
      </c>
      <c r="B74" s="19" t="s">
        <v>24</v>
      </c>
      <c r="C74" s="34">
        <v>70354</v>
      </c>
      <c r="D74" s="57" t="s">
        <v>144</v>
      </c>
      <c r="E74" s="27" t="s">
        <v>20</v>
      </c>
      <c r="F74" s="45">
        <v>3</v>
      </c>
      <c r="G74" s="45">
        <f t="shared" si="5"/>
        <v>0.59</v>
      </c>
      <c r="H74" s="45">
        <f t="shared" si="6"/>
        <v>1.07</v>
      </c>
      <c r="I74" s="45">
        <f t="shared" si="7"/>
        <v>4.9800000000000004</v>
      </c>
      <c r="K74" s="45">
        <v>0.74</v>
      </c>
      <c r="L74" s="135">
        <v>1.33</v>
      </c>
      <c r="M74" s="141">
        <f t="shared" si="8"/>
        <v>1.77</v>
      </c>
      <c r="N74" s="141">
        <f t="shared" si="9"/>
        <v>3.21</v>
      </c>
    </row>
    <row r="75" spans="1:14" x14ac:dyDescent="0.2">
      <c r="A75" s="27" t="s">
        <v>145</v>
      </c>
      <c r="B75" s="19" t="s">
        <v>24</v>
      </c>
      <c r="C75" s="34">
        <v>70354</v>
      </c>
      <c r="D75" s="57" t="s">
        <v>144</v>
      </c>
      <c r="E75" s="27" t="s">
        <v>20</v>
      </c>
      <c r="F75" s="45">
        <v>2</v>
      </c>
      <c r="G75" s="45">
        <f t="shared" si="5"/>
        <v>0.59</v>
      </c>
      <c r="H75" s="45">
        <f t="shared" si="6"/>
        <v>1.07</v>
      </c>
      <c r="I75" s="45">
        <f t="shared" si="7"/>
        <v>3.32</v>
      </c>
      <c r="K75" s="45">
        <v>0.74</v>
      </c>
      <c r="L75" s="135">
        <v>1.33</v>
      </c>
      <c r="M75" s="141">
        <f t="shared" si="8"/>
        <v>1.18</v>
      </c>
      <c r="N75" s="141">
        <f t="shared" si="9"/>
        <v>2.14</v>
      </c>
    </row>
    <row r="76" spans="1:14" x14ac:dyDescent="0.2">
      <c r="A76" s="27" t="s">
        <v>146</v>
      </c>
      <c r="B76" s="19" t="s">
        <v>24</v>
      </c>
      <c r="C76" s="34">
        <v>70422</v>
      </c>
      <c r="D76" s="57" t="s">
        <v>147</v>
      </c>
      <c r="E76" s="27" t="s">
        <v>148</v>
      </c>
      <c r="F76" s="45">
        <v>50</v>
      </c>
      <c r="G76" s="45">
        <f t="shared" si="5"/>
        <v>1.36</v>
      </c>
      <c r="H76" s="45">
        <f t="shared" si="6"/>
        <v>0.26</v>
      </c>
      <c r="I76" s="45">
        <f t="shared" si="7"/>
        <v>81</v>
      </c>
      <c r="K76" s="45">
        <v>1.68</v>
      </c>
      <c r="L76" s="135">
        <v>0.33</v>
      </c>
      <c r="M76" s="141">
        <f t="shared" si="8"/>
        <v>68</v>
      </c>
      <c r="N76" s="141">
        <f t="shared" si="9"/>
        <v>13</v>
      </c>
    </row>
    <row r="77" spans="1:14" x14ac:dyDescent="0.2">
      <c r="A77" s="27" t="s">
        <v>149</v>
      </c>
      <c r="B77" s="19" t="s">
        <v>24</v>
      </c>
      <c r="C77" s="34">
        <v>70424</v>
      </c>
      <c r="D77" s="57" t="s">
        <v>150</v>
      </c>
      <c r="E77" s="27" t="s">
        <v>148</v>
      </c>
      <c r="F77" s="45">
        <v>5</v>
      </c>
      <c r="G77" s="45">
        <f t="shared" si="5"/>
        <v>2.4700000000000002</v>
      </c>
      <c r="H77" s="45">
        <f t="shared" si="6"/>
        <v>1.07</v>
      </c>
      <c r="I77" s="45">
        <f t="shared" si="7"/>
        <v>17.7</v>
      </c>
      <c r="K77" s="45">
        <v>3.06</v>
      </c>
      <c r="L77" s="135">
        <v>1.33</v>
      </c>
      <c r="M77" s="141">
        <f t="shared" si="8"/>
        <v>12.35</v>
      </c>
      <c r="N77" s="141">
        <f t="shared" si="9"/>
        <v>5.35</v>
      </c>
    </row>
    <row r="78" spans="1:14" x14ac:dyDescent="0.2">
      <c r="A78" s="27" t="s">
        <v>151</v>
      </c>
      <c r="B78" s="19" t="s">
        <v>24</v>
      </c>
      <c r="C78" s="34">
        <v>70581</v>
      </c>
      <c r="D78" s="57" t="s">
        <v>152</v>
      </c>
      <c r="E78" s="27" t="s">
        <v>94</v>
      </c>
      <c r="F78" s="45">
        <v>30</v>
      </c>
      <c r="G78" s="45">
        <f t="shared" si="5"/>
        <v>2.29</v>
      </c>
      <c r="H78" s="45">
        <f t="shared" si="6"/>
        <v>1.48</v>
      </c>
      <c r="I78" s="45">
        <f t="shared" si="7"/>
        <v>113.1</v>
      </c>
      <c r="K78" s="45">
        <v>2.83</v>
      </c>
      <c r="L78" s="135">
        <v>1.83</v>
      </c>
      <c r="M78" s="141">
        <f t="shared" si="8"/>
        <v>68.7</v>
      </c>
      <c r="N78" s="141">
        <f t="shared" si="9"/>
        <v>44.4</v>
      </c>
    </row>
    <row r="79" spans="1:14" x14ac:dyDescent="0.2">
      <c r="A79" s="27" t="s">
        <v>153</v>
      </c>
      <c r="B79" s="19" t="s">
        <v>24</v>
      </c>
      <c r="C79" s="34">
        <v>70582</v>
      </c>
      <c r="D79" s="57" t="s">
        <v>154</v>
      </c>
      <c r="E79" s="27" t="s">
        <v>94</v>
      </c>
      <c r="F79" s="45">
        <v>637</v>
      </c>
      <c r="G79" s="45">
        <f t="shared" si="5"/>
        <v>3.25</v>
      </c>
      <c r="H79" s="45">
        <f t="shared" si="6"/>
        <v>1.61</v>
      </c>
      <c r="I79" s="45">
        <f t="shared" si="7"/>
        <v>3095.82</v>
      </c>
      <c r="K79" s="45">
        <v>4.0199999999999996</v>
      </c>
      <c r="L79" s="135">
        <v>1.99</v>
      </c>
      <c r="M79" s="141">
        <f t="shared" si="8"/>
        <v>2070.25</v>
      </c>
      <c r="N79" s="141">
        <f t="shared" si="9"/>
        <v>1025.57</v>
      </c>
    </row>
    <row r="80" spans="1:14" x14ac:dyDescent="0.2">
      <c r="A80" s="27" t="s">
        <v>155</v>
      </c>
      <c r="B80" s="19" t="s">
        <v>24</v>
      </c>
      <c r="C80" s="34">
        <v>70565</v>
      </c>
      <c r="D80" s="57" t="s">
        <v>156</v>
      </c>
      <c r="E80" s="27" t="s">
        <v>94</v>
      </c>
      <c r="F80" s="45">
        <v>75</v>
      </c>
      <c r="G80" s="45">
        <f t="shared" si="5"/>
        <v>4.2300000000000004</v>
      </c>
      <c r="H80" s="45">
        <f t="shared" si="6"/>
        <v>1.74</v>
      </c>
      <c r="I80" s="45">
        <f t="shared" si="7"/>
        <v>447.75</v>
      </c>
      <c r="K80" s="45">
        <v>5.23</v>
      </c>
      <c r="L80" s="135">
        <v>2.16</v>
      </c>
      <c r="M80" s="141">
        <f t="shared" si="8"/>
        <v>317.25</v>
      </c>
      <c r="N80" s="141">
        <f t="shared" si="9"/>
        <v>130.5</v>
      </c>
    </row>
    <row r="81" spans="1:14" ht="36" x14ac:dyDescent="0.2">
      <c r="A81" s="27" t="s">
        <v>157</v>
      </c>
      <c r="B81" s="21" t="s">
        <v>102</v>
      </c>
      <c r="C81" s="34">
        <v>95796</v>
      </c>
      <c r="D81" s="57" t="s">
        <v>158</v>
      </c>
      <c r="E81" s="27" t="s">
        <v>20</v>
      </c>
      <c r="F81" s="45">
        <v>21</v>
      </c>
      <c r="G81" s="45">
        <f t="shared" si="5"/>
        <v>16.899999999999999</v>
      </c>
      <c r="H81" s="45">
        <f t="shared" si="6"/>
        <v>13.25</v>
      </c>
      <c r="I81" s="45">
        <f t="shared" si="7"/>
        <v>633.15</v>
      </c>
      <c r="K81" s="45">
        <v>20.87</v>
      </c>
      <c r="L81" s="135">
        <v>16.37</v>
      </c>
      <c r="M81" s="141">
        <f t="shared" si="8"/>
        <v>354.9</v>
      </c>
      <c r="N81" s="141">
        <f t="shared" si="9"/>
        <v>278.25</v>
      </c>
    </row>
    <row r="82" spans="1:14" ht="36" x14ac:dyDescent="0.2">
      <c r="A82" s="27" t="s">
        <v>159</v>
      </c>
      <c r="B82" s="21" t="s">
        <v>102</v>
      </c>
      <c r="C82" s="34">
        <v>97891</v>
      </c>
      <c r="D82" s="57" t="s">
        <v>160</v>
      </c>
      <c r="E82" s="27" t="s">
        <v>20</v>
      </c>
      <c r="F82" s="45">
        <v>1</v>
      </c>
      <c r="G82" s="45">
        <f t="shared" si="5"/>
        <v>84.43</v>
      </c>
      <c r="H82" s="45">
        <f t="shared" si="6"/>
        <v>70.08</v>
      </c>
      <c r="I82" s="45">
        <f t="shared" si="7"/>
        <v>154.51</v>
      </c>
      <c r="K82" s="45">
        <v>104.24</v>
      </c>
      <c r="L82" s="135">
        <v>86.53</v>
      </c>
      <c r="M82" s="141">
        <f t="shared" si="8"/>
        <v>84.43</v>
      </c>
      <c r="N82" s="141">
        <f t="shared" si="9"/>
        <v>70.08</v>
      </c>
    </row>
    <row r="83" spans="1:14" ht="27" x14ac:dyDescent="0.2">
      <c r="A83" s="27" t="s">
        <v>161</v>
      </c>
      <c r="B83" s="19" t="s">
        <v>102</v>
      </c>
      <c r="C83" s="34">
        <v>93654</v>
      </c>
      <c r="D83" s="57" t="s">
        <v>162</v>
      </c>
      <c r="E83" s="27" t="s">
        <v>20</v>
      </c>
      <c r="F83" s="45">
        <v>1</v>
      </c>
      <c r="G83" s="45">
        <f t="shared" si="5"/>
        <v>7.77</v>
      </c>
      <c r="H83" s="45">
        <f t="shared" si="6"/>
        <v>1.32</v>
      </c>
      <c r="I83" s="45">
        <f t="shared" si="7"/>
        <v>9.09</v>
      </c>
      <c r="K83" s="45">
        <v>9.6</v>
      </c>
      <c r="L83" s="135">
        <v>1.64</v>
      </c>
      <c r="M83" s="141">
        <f t="shared" si="8"/>
        <v>7.77</v>
      </c>
      <c r="N83" s="141">
        <f t="shared" si="9"/>
        <v>1.32</v>
      </c>
    </row>
    <row r="84" spans="1:14" ht="27" x14ac:dyDescent="0.2">
      <c r="A84" s="27" t="s">
        <v>163</v>
      </c>
      <c r="B84" s="19" t="s">
        <v>102</v>
      </c>
      <c r="C84" s="34">
        <v>93655</v>
      </c>
      <c r="D84" s="57" t="s">
        <v>164</v>
      </c>
      <c r="E84" s="27" t="s">
        <v>20</v>
      </c>
      <c r="F84" s="45">
        <v>5</v>
      </c>
      <c r="G84" s="45">
        <f t="shared" si="5"/>
        <v>8.17</v>
      </c>
      <c r="H84" s="45">
        <f t="shared" si="6"/>
        <v>1.87</v>
      </c>
      <c r="I84" s="45">
        <f t="shared" si="7"/>
        <v>50.2</v>
      </c>
      <c r="K84" s="45">
        <v>10.09</v>
      </c>
      <c r="L84" s="135">
        <v>2.31</v>
      </c>
      <c r="M84" s="141">
        <f t="shared" si="8"/>
        <v>40.85</v>
      </c>
      <c r="N84" s="141">
        <f t="shared" si="9"/>
        <v>9.35</v>
      </c>
    </row>
    <row r="85" spans="1:14" x14ac:dyDescent="0.2">
      <c r="A85" s="27" t="s">
        <v>165</v>
      </c>
      <c r="B85" s="19" t="s">
        <v>24</v>
      </c>
      <c r="C85" s="34">
        <v>71173</v>
      </c>
      <c r="D85" s="57" t="s">
        <v>166</v>
      </c>
      <c r="E85" s="27" t="s">
        <v>20</v>
      </c>
      <c r="F85" s="45">
        <v>1</v>
      </c>
      <c r="G85" s="45">
        <f t="shared" si="5"/>
        <v>52.86</v>
      </c>
      <c r="H85" s="45">
        <f t="shared" si="6"/>
        <v>24.2</v>
      </c>
      <c r="I85" s="45">
        <f t="shared" si="7"/>
        <v>77.06</v>
      </c>
      <c r="K85" s="45">
        <v>65.27</v>
      </c>
      <c r="L85" s="135">
        <v>29.88</v>
      </c>
      <c r="M85" s="141">
        <f t="shared" si="8"/>
        <v>52.86</v>
      </c>
      <c r="N85" s="141">
        <f t="shared" si="9"/>
        <v>24.2</v>
      </c>
    </row>
    <row r="86" spans="1:14" ht="18" x14ac:dyDescent="0.2">
      <c r="A86" s="27" t="s">
        <v>167</v>
      </c>
      <c r="B86" s="19" t="s">
        <v>24</v>
      </c>
      <c r="C86" s="34">
        <v>71184</v>
      </c>
      <c r="D86" s="57" t="s">
        <v>168</v>
      </c>
      <c r="E86" s="27" t="s">
        <v>20</v>
      </c>
      <c r="F86" s="45">
        <v>3</v>
      </c>
      <c r="G86" s="45">
        <f t="shared" si="5"/>
        <v>94.79</v>
      </c>
      <c r="H86" s="45">
        <f t="shared" si="6"/>
        <v>26.89</v>
      </c>
      <c r="I86" s="45">
        <f t="shared" si="7"/>
        <v>365.04</v>
      </c>
      <c r="K86" s="45">
        <v>117.03</v>
      </c>
      <c r="L86" s="135">
        <v>33.200000000000003</v>
      </c>
      <c r="M86" s="141">
        <f t="shared" si="8"/>
        <v>284.37</v>
      </c>
      <c r="N86" s="141">
        <f t="shared" si="9"/>
        <v>80.67</v>
      </c>
    </row>
    <row r="87" spans="1:14" ht="18" x14ac:dyDescent="0.2">
      <c r="A87" s="27" t="s">
        <v>169</v>
      </c>
      <c r="B87" s="19" t="s">
        <v>24</v>
      </c>
      <c r="C87" s="34">
        <v>71450</v>
      </c>
      <c r="D87" s="57" t="s">
        <v>170</v>
      </c>
      <c r="E87" s="27" t="s">
        <v>20</v>
      </c>
      <c r="F87" s="45">
        <v>1</v>
      </c>
      <c r="G87" s="45">
        <f t="shared" si="5"/>
        <v>126.79</v>
      </c>
      <c r="H87" s="45">
        <f t="shared" si="6"/>
        <v>16.13</v>
      </c>
      <c r="I87" s="45">
        <f t="shared" si="7"/>
        <v>142.91999999999999</v>
      </c>
      <c r="K87" s="45">
        <v>156.54</v>
      </c>
      <c r="L87" s="135">
        <v>19.920000000000002</v>
      </c>
      <c r="M87" s="141">
        <f t="shared" si="8"/>
        <v>126.79</v>
      </c>
      <c r="N87" s="141">
        <f t="shared" si="9"/>
        <v>16.13</v>
      </c>
    </row>
    <row r="88" spans="1:14" ht="36" x14ac:dyDescent="0.2">
      <c r="A88" s="27" t="s">
        <v>171</v>
      </c>
      <c r="B88" s="19" t="s">
        <v>102</v>
      </c>
      <c r="C88" s="34">
        <v>95746</v>
      </c>
      <c r="D88" s="61" t="s">
        <v>284</v>
      </c>
      <c r="E88" s="27" t="s">
        <v>94</v>
      </c>
      <c r="F88" s="45">
        <v>150</v>
      </c>
      <c r="G88" s="45">
        <f t="shared" si="5"/>
        <v>14.77</v>
      </c>
      <c r="H88" s="45">
        <f t="shared" si="6"/>
        <v>5.49</v>
      </c>
      <c r="I88" s="45">
        <f t="shared" si="7"/>
        <v>3039</v>
      </c>
      <c r="K88" s="45">
        <v>18.239999999999998</v>
      </c>
      <c r="L88" s="135">
        <v>6.78</v>
      </c>
      <c r="M88" s="141">
        <f t="shared" si="8"/>
        <v>2215.5</v>
      </c>
      <c r="N88" s="141">
        <f t="shared" si="9"/>
        <v>823.5</v>
      </c>
    </row>
    <row r="89" spans="1:14" ht="36" x14ac:dyDescent="0.2">
      <c r="A89" s="27" t="s">
        <v>172</v>
      </c>
      <c r="B89" s="21" t="s">
        <v>102</v>
      </c>
      <c r="C89" s="34">
        <v>95748</v>
      </c>
      <c r="D89" s="57" t="s">
        <v>173</v>
      </c>
      <c r="E89" s="27" t="s">
        <v>94</v>
      </c>
      <c r="F89" s="45">
        <v>15</v>
      </c>
      <c r="G89" s="45">
        <f t="shared" si="5"/>
        <v>27.85</v>
      </c>
      <c r="H89" s="45">
        <f t="shared" si="6"/>
        <v>8.18</v>
      </c>
      <c r="I89" s="45">
        <f t="shared" si="7"/>
        <v>540.45000000000005</v>
      </c>
      <c r="K89" s="45">
        <v>34.39</v>
      </c>
      <c r="L89" s="135">
        <v>10.11</v>
      </c>
      <c r="M89" s="141">
        <f t="shared" si="8"/>
        <v>417.75</v>
      </c>
      <c r="N89" s="141">
        <f t="shared" si="9"/>
        <v>122.7</v>
      </c>
    </row>
    <row r="90" spans="1:14" x14ac:dyDescent="0.2">
      <c r="A90" s="27" t="s">
        <v>174</v>
      </c>
      <c r="B90" s="19" t="s">
        <v>24</v>
      </c>
      <c r="C90" s="34">
        <v>71321</v>
      </c>
      <c r="D90" s="57" t="s">
        <v>175</v>
      </c>
      <c r="E90" s="27" t="s">
        <v>20</v>
      </c>
      <c r="F90" s="45">
        <v>1</v>
      </c>
      <c r="G90" s="45">
        <f t="shared" si="5"/>
        <v>10.23</v>
      </c>
      <c r="H90" s="45">
        <f t="shared" si="6"/>
        <v>5.37</v>
      </c>
      <c r="I90" s="45">
        <f t="shared" si="7"/>
        <v>15.6</v>
      </c>
      <c r="K90" s="45">
        <v>12.63</v>
      </c>
      <c r="L90" s="135">
        <v>6.64</v>
      </c>
      <c r="M90" s="141">
        <f t="shared" si="8"/>
        <v>10.23</v>
      </c>
      <c r="N90" s="141">
        <f t="shared" si="9"/>
        <v>5.37</v>
      </c>
    </row>
    <row r="91" spans="1:14" x14ac:dyDescent="0.2">
      <c r="A91" s="27" t="s">
        <v>176</v>
      </c>
      <c r="B91" s="19" t="s">
        <v>24</v>
      </c>
      <c r="C91" s="34">
        <v>71331</v>
      </c>
      <c r="D91" s="57" t="s">
        <v>177</v>
      </c>
      <c r="E91" s="27" t="s">
        <v>20</v>
      </c>
      <c r="F91" s="45">
        <v>10</v>
      </c>
      <c r="G91" s="45">
        <f t="shared" si="5"/>
        <v>6.16</v>
      </c>
      <c r="H91" s="45">
        <f t="shared" si="6"/>
        <v>10.75</v>
      </c>
      <c r="I91" s="45">
        <f t="shared" si="7"/>
        <v>169.1</v>
      </c>
      <c r="K91" s="45">
        <v>7.61</v>
      </c>
      <c r="L91" s="135">
        <v>13.28</v>
      </c>
      <c r="M91" s="141">
        <f t="shared" si="8"/>
        <v>61.6</v>
      </c>
      <c r="N91" s="141">
        <f t="shared" si="9"/>
        <v>107.5</v>
      </c>
    </row>
    <row r="92" spans="1:14" ht="18" x14ac:dyDescent="0.2">
      <c r="A92" s="27" t="s">
        <v>178</v>
      </c>
      <c r="B92" s="19" t="s">
        <v>24</v>
      </c>
      <c r="C92" s="34">
        <v>71660</v>
      </c>
      <c r="D92" s="57" t="s">
        <v>179</v>
      </c>
      <c r="E92" s="27" t="s">
        <v>20</v>
      </c>
      <c r="F92" s="45">
        <v>20</v>
      </c>
      <c r="G92" s="45">
        <f t="shared" si="5"/>
        <v>262.45</v>
      </c>
      <c r="H92" s="45">
        <f t="shared" si="6"/>
        <v>8.67</v>
      </c>
      <c r="I92" s="45">
        <f t="shared" si="7"/>
        <v>5422.4</v>
      </c>
      <c r="K92" s="45">
        <v>324.02</v>
      </c>
      <c r="L92" s="135">
        <v>10.71</v>
      </c>
      <c r="M92" s="141">
        <f t="shared" si="8"/>
        <v>5249</v>
      </c>
      <c r="N92" s="141">
        <f t="shared" si="9"/>
        <v>173.4</v>
      </c>
    </row>
    <row r="93" spans="1:14" x14ac:dyDescent="0.2">
      <c r="A93" s="27" t="s">
        <v>180</v>
      </c>
      <c r="B93" s="19" t="s">
        <v>24</v>
      </c>
      <c r="C93" s="34">
        <v>71522</v>
      </c>
      <c r="D93" s="57" t="s">
        <v>181</v>
      </c>
      <c r="E93" s="27" t="s">
        <v>20</v>
      </c>
      <c r="F93" s="45">
        <v>20</v>
      </c>
      <c r="G93" s="45">
        <f t="shared" si="5"/>
        <v>40.98</v>
      </c>
      <c r="H93" s="45">
        <f t="shared" si="6"/>
        <v>2.14</v>
      </c>
      <c r="I93" s="45">
        <f t="shared" si="7"/>
        <v>862.4</v>
      </c>
      <c r="K93" s="45">
        <v>50.6</v>
      </c>
      <c r="L93" s="135">
        <v>2.65</v>
      </c>
      <c r="M93" s="141">
        <f t="shared" si="8"/>
        <v>819.6</v>
      </c>
      <c r="N93" s="141">
        <f t="shared" si="9"/>
        <v>42.8</v>
      </c>
    </row>
    <row r="94" spans="1:14" ht="27" x14ac:dyDescent="0.2">
      <c r="A94" s="27" t="s">
        <v>182</v>
      </c>
      <c r="B94" s="19" t="s">
        <v>102</v>
      </c>
      <c r="C94" s="34">
        <v>101626</v>
      </c>
      <c r="D94" s="57" t="s">
        <v>183</v>
      </c>
      <c r="E94" s="27" t="s">
        <v>20</v>
      </c>
      <c r="F94" s="45">
        <v>20</v>
      </c>
      <c r="G94" s="45">
        <f t="shared" si="5"/>
        <v>89.18</v>
      </c>
      <c r="H94" s="45">
        <f t="shared" si="6"/>
        <v>5.48</v>
      </c>
      <c r="I94" s="45">
        <f t="shared" si="7"/>
        <v>1893.2</v>
      </c>
      <c r="K94" s="45">
        <v>110.11</v>
      </c>
      <c r="L94" s="135">
        <v>6.77</v>
      </c>
      <c r="M94" s="141">
        <f t="shared" si="8"/>
        <v>1783.6</v>
      </c>
      <c r="N94" s="141">
        <f t="shared" si="9"/>
        <v>109.6</v>
      </c>
    </row>
    <row r="95" spans="1:14" ht="36" x14ac:dyDescent="0.2">
      <c r="A95" s="27" t="s">
        <v>184</v>
      </c>
      <c r="B95" s="21" t="s">
        <v>102</v>
      </c>
      <c r="C95" s="34">
        <v>95754</v>
      </c>
      <c r="D95" s="57" t="s">
        <v>185</v>
      </c>
      <c r="E95" s="27" t="s">
        <v>20</v>
      </c>
      <c r="F95" s="45">
        <v>50</v>
      </c>
      <c r="G95" s="45">
        <f t="shared" si="5"/>
        <v>3.04</v>
      </c>
      <c r="H95" s="45">
        <f t="shared" si="6"/>
        <v>3.85</v>
      </c>
      <c r="I95" s="45">
        <f t="shared" si="7"/>
        <v>344.5</v>
      </c>
      <c r="K95" s="45">
        <v>3.76</v>
      </c>
      <c r="L95" s="135">
        <v>4.76</v>
      </c>
      <c r="M95" s="141">
        <f t="shared" si="8"/>
        <v>152</v>
      </c>
      <c r="N95" s="141">
        <f t="shared" si="9"/>
        <v>192.5</v>
      </c>
    </row>
    <row r="96" spans="1:14" ht="36" x14ac:dyDescent="0.2">
      <c r="A96" s="27" t="s">
        <v>186</v>
      </c>
      <c r="B96" s="21" t="s">
        <v>102</v>
      </c>
      <c r="C96" s="34">
        <v>95756</v>
      </c>
      <c r="D96" s="57" t="s">
        <v>187</v>
      </c>
      <c r="E96" s="27" t="s">
        <v>20</v>
      </c>
      <c r="F96" s="45">
        <v>5</v>
      </c>
      <c r="G96" s="45">
        <f t="shared" si="5"/>
        <v>6.79</v>
      </c>
      <c r="H96" s="45">
        <f t="shared" si="6"/>
        <v>6.35</v>
      </c>
      <c r="I96" s="45">
        <f t="shared" si="7"/>
        <v>65.7</v>
      </c>
      <c r="K96" s="45">
        <v>8.39</v>
      </c>
      <c r="L96" s="135">
        <v>7.84</v>
      </c>
      <c r="M96" s="141">
        <f t="shared" si="8"/>
        <v>33.950000000000003</v>
      </c>
      <c r="N96" s="141">
        <f t="shared" si="9"/>
        <v>31.75</v>
      </c>
    </row>
    <row r="97" spans="1:14" ht="45" x14ac:dyDescent="0.2">
      <c r="A97" s="27" t="s">
        <v>188</v>
      </c>
      <c r="B97" s="21" t="s">
        <v>102</v>
      </c>
      <c r="C97" s="34">
        <v>101875</v>
      </c>
      <c r="D97" s="57" t="s">
        <v>189</v>
      </c>
      <c r="E97" s="27" t="s">
        <v>20</v>
      </c>
      <c r="F97" s="45">
        <v>1</v>
      </c>
      <c r="G97" s="45">
        <f t="shared" si="5"/>
        <v>387.07</v>
      </c>
      <c r="H97" s="45">
        <f t="shared" si="6"/>
        <v>14.88</v>
      </c>
      <c r="I97" s="45">
        <f t="shared" si="7"/>
        <v>401.95</v>
      </c>
      <c r="K97" s="45">
        <v>477.87</v>
      </c>
      <c r="L97" s="135">
        <v>18.38</v>
      </c>
      <c r="M97" s="141">
        <f t="shared" si="8"/>
        <v>387.07</v>
      </c>
      <c r="N97" s="141">
        <f t="shared" si="9"/>
        <v>14.88</v>
      </c>
    </row>
    <row r="98" spans="1:14" x14ac:dyDescent="0.2">
      <c r="A98" s="27" t="s">
        <v>190</v>
      </c>
      <c r="B98" s="19" t="s">
        <v>24</v>
      </c>
      <c r="C98" s="34">
        <v>72585</v>
      </c>
      <c r="D98" s="57" t="s">
        <v>191</v>
      </c>
      <c r="E98" s="27" t="s">
        <v>20</v>
      </c>
      <c r="F98" s="45">
        <v>1</v>
      </c>
      <c r="G98" s="45">
        <f t="shared" si="5"/>
        <v>7.91</v>
      </c>
      <c r="H98" s="45">
        <f t="shared" si="6"/>
        <v>7.8</v>
      </c>
      <c r="I98" s="45">
        <f t="shared" si="7"/>
        <v>15.71</v>
      </c>
      <c r="K98" s="45">
        <v>9.77</v>
      </c>
      <c r="L98" s="135">
        <v>9.6300000000000008</v>
      </c>
      <c r="M98" s="141">
        <f t="shared" si="8"/>
        <v>7.91</v>
      </c>
      <c r="N98" s="141">
        <f t="shared" si="9"/>
        <v>7.8</v>
      </c>
    </row>
    <row r="99" spans="1:14" ht="18" x14ac:dyDescent="0.15">
      <c r="A99" s="31" t="s">
        <v>192</v>
      </c>
      <c r="B99" s="22"/>
      <c r="C99" s="36"/>
      <c r="D99" s="60" t="s">
        <v>193</v>
      </c>
      <c r="E99" s="36"/>
      <c r="F99" s="46"/>
      <c r="G99" s="127"/>
      <c r="H99" s="127"/>
      <c r="I99" s="127">
        <f>SUM(I100:I108)</f>
        <v>10684.65</v>
      </c>
      <c r="K99" s="46"/>
      <c r="L99" s="137"/>
      <c r="M99" s="141">
        <f t="shared" si="8"/>
        <v>0</v>
      </c>
      <c r="N99" s="141">
        <f t="shared" si="9"/>
        <v>0</v>
      </c>
    </row>
    <row r="100" spans="1:14" ht="27" x14ac:dyDescent="0.2">
      <c r="A100" s="27" t="s">
        <v>194</v>
      </c>
      <c r="B100" s="19" t="s">
        <v>102</v>
      </c>
      <c r="C100" s="34">
        <v>98111</v>
      </c>
      <c r="D100" s="57" t="s">
        <v>195</v>
      </c>
      <c r="E100" s="27" t="s">
        <v>20</v>
      </c>
      <c r="F100" s="45">
        <v>5</v>
      </c>
      <c r="G100" s="45">
        <f t="shared" si="5"/>
        <v>34.770000000000003</v>
      </c>
      <c r="H100" s="45">
        <f t="shared" si="6"/>
        <v>4.33</v>
      </c>
      <c r="I100" s="45">
        <f t="shared" si="7"/>
        <v>195.5</v>
      </c>
      <c r="K100" s="45">
        <v>42.93</v>
      </c>
      <c r="L100" s="135">
        <v>5.35</v>
      </c>
      <c r="M100" s="141">
        <f t="shared" si="8"/>
        <v>173.85</v>
      </c>
      <c r="N100" s="141">
        <f t="shared" si="9"/>
        <v>21.65</v>
      </c>
    </row>
    <row r="101" spans="1:14" ht="27" x14ac:dyDescent="0.2">
      <c r="A101" s="27" t="s">
        <v>196</v>
      </c>
      <c r="B101" s="19" t="s">
        <v>102</v>
      </c>
      <c r="C101" s="34">
        <v>96973</v>
      </c>
      <c r="D101" s="57" t="s">
        <v>197</v>
      </c>
      <c r="E101" s="27" t="s">
        <v>94</v>
      </c>
      <c r="F101" s="45">
        <v>50</v>
      </c>
      <c r="G101" s="45">
        <f t="shared" si="5"/>
        <v>35.07</v>
      </c>
      <c r="H101" s="45">
        <f t="shared" si="6"/>
        <v>11.63</v>
      </c>
      <c r="I101" s="45">
        <f t="shared" si="7"/>
        <v>2335</v>
      </c>
      <c r="K101" s="45">
        <v>43.3</v>
      </c>
      <c r="L101" s="135">
        <v>14.37</v>
      </c>
      <c r="M101" s="141">
        <f t="shared" si="8"/>
        <v>1753.5</v>
      </c>
      <c r="N101" s="141">
        <f t="shared" si="9"/>
        <v>581.5</v>
      </c>
    </row>
    <row r="102" spans="1:14" ht="27" x14ac:dyDescent="0.2">
      <c r="A102" s="27" t="s">
        <v>198</v>
      </c>
      <c r="B102" s="19" t="s">
        <v>102</v>
      </c>
      <c r="C102" s="34">
        <v>96974</v>
      </c>
      <c r="D102" s="57" t="s">
        <v>199</v>
      </c>
      <c r="E102" s="27" t="s">
        <v>94</v>
      </c>
      <c r="F102" s="45">
        <v>118</v>
      </c>
      <c r="G102" s="45">
        <f t="shared" si="5"/>
        <v>46.82</v>
      </c>
      <c r="H102" s="45">
        <f t="shared" si="6"/>
        <v>13.68</v>
      </c>
      <c r="I102" s="45">
        <f t="shared" si="7"/>
        <v>7139</v>
      </c>
      <c r="K102" s="45">
        <v>57.81</v>
      </c>
      <c r="L102" s="135">
        <v>16.89</v>
      </c>
      <c r="M102" s="141">
        <f t="shared" si="8"/>
        <v>5524.76</v>
      </c>
      <c r="N102" s="141">
        <f t="shared" si="9"/>
        <v>1614.24</v>
      </c>
    </row>
    <row r="103" spans="1:14" ht="18" x14ac:dyDescent="0.2">
      <c r="A103" s="27" t="s">
        <v>200</v>
      </c>
      <c r="B103" s="19" t="s">
        <v>102</v>
      </c>
      <c r="C103" s="34">
        <v>96986</v>
      </c>
      <c r="D103" s="57" t="s">
        <v>201</v>
      </c>
      <c r="E103" s="27" t="s">
        <v>20</v>
      </c>
      <c r="F103" s="45">
        <v>5</v>
      </c>
      <c r="G103" s="45">
        <f t="shared" si="5"/>
        <v>75.09</v>
      </c>
      <c r="H103" s="45">
        <f t="shared" si="6"/>
        <v>11.16</v>
      </c>
      <c r="I103" s="45">
        <f t="shared" si="7"/>
        <v>431.25</v>
      </c>
      <c r="K103" s="45">
        <v>92.71</v>
      </c>
      <c r="L103" s="135">
        <v>13.78</v>
      </c>
      <c r="M103" s="141">
        <f t="shared" si="8"/>
        <v>375.45</v>
      </c>
      <c r="N103" s="141">
        <f t="shared" si="9"/>
        <v>55.8</v>
      </c>
    </row>
    <row r="104" spans="1:14" ht="18" x14ac:dyDescent="0.2">
      <c r="A104" s="27" t="s">
        <v>202</v>
      </c>
      <c r="B104" s="19" t="s">
        <v>24</v>
      </c>
      <c r="C104" s="34">
        <v>70255</v>
      </c>
      <c r="D104" s="57" t="s">
        <v>203</v>
      </c>
      <c r="E104" s="27" t="s">
        <v>20</v>
      </c>
      <c r="F104" s="45">
        <v>2</v>
      </c>
      <c r="G104" s="45">
        <f t="shared" si="5"/>
        <v>6.43</v>
      </c>
      <c r="H104" s="45">
        <f t="shared" si="6"/>
        <v>6.72</v>
      </c>
      <c r="I104" s="45">
        <f t="shared" si="7"/>
        <v>26.3</v>
      </c>
      <c r="K104" s="45">
        <v>7.94</v>
      </c>
      <c r="L104" s="135">
        <v>8.3000000000000007</v>
      </c>
      <c r="M104" s="141">
        <f t="shared" si="8"/>
        <v>12.86</v>
      </c>
      <c r="N104" s="141">
        <f t="shared" si="9"/>
        <v>13.44</v>
      </c>
    </row>
    <row r="105" spans="1:14" x14ac:dyDescent="0.2">
      <c r="A105" s="27" t="s">
        <v>204</v>
      </c>
      <c r="B105" s="19" t="s">
        <v>24</v>
      </c>
      <c r="C105" s="34">
        <v>70352</v>
      </c>
      <c r="D105" s="57" t="s">
        <v>142</v>
      </c>
      <c r="E105" s="27" t="s">
        <v>20</v>
      </c>
      <c r="F105" s="45">
        <v>10</v>
      </c>
      <c r="G105" s="45">
        <f t="shared" si="5"/>
        <v>0.45</v>
      </c>
      <c r="H105" s="45">
        <f t="shared" si="6"/>
        <v>0.26</v>
      </c>
      <c r="I105" s="45">
        <f t="shared" si="7"/>
        <v>7.1</v>
      </c>
      <c r="K105" s="45">
        <v>0.56000000000000005</v>
      </c>
      <c r="L105" s="135">
        <v>0.33</v>
      </c>
      <c r="M105" s="141">
        <f t="shared" si="8"/>
        <v>4.5</v>
      </c>
      <c r="N105" s="141">
        <f t="shared" si="9"/>
        <v>2.6</v>
      </c>
    </row>
    <row r="106" spans="1:14" x14ac:dyDescent="0.2">
      <c r="A106" s="27" t="s">
        <v>205</v>
      </c>
      <c r="B106" s="19" t="s">
        <v>24</v>
      </c>
      <c r="C106" s="34">
        <v>71202</v>
      </c>
      <c r="D106" s="57" t="s">
        <v>206</v>
      </c>
      <c r="E106" s="27" t="s">
        <v>94</v>
      </c>
      <c r="F106" s="45">
        <v>50</v>
      </c>
      <c r="G106" s="45">
        <f t="shared" si="5"/>
        <v>3.31</v>
      </c>
      <c r="H106" s="45">
        <f t="shared" si="6"/>
        <v>5.37</v>
      </c>
      <c r="I106" s="45">
        <f t="shared" si="7"/>
        <v>434</v>
      </c>
      <c r="K106" s="45">
        <v>4.09</v>
      </c>
      <c r="L106" s="135">
        <v>6.64</v>
      </c>
      <c r="M106" s="141">
        <f t="shared" si="8"/>
        <v>165.5</v>
      </c>
      <c r="N106" s="141">
        <f t="shared" si="9"/>
        <v>268.5</v>
      </c>
    </row>
    <row r="107" spans="1:14" x14ac:dyDescent="0.2">
      <c r="A107" s="27" t="s">
        <v>207</v>
      </c>
      <c r="B107" s="19" t="s">
        <v>24</v>
      </c>
      <c r="C107" s="34">
        <v>71742</v>
      </c>
      <c r="D107" s="57" t="s">
        <v>208</v>
      </c>
      <c r="E107" s="27" t="s">
        <v>20</v>
      </c>
      <c r="F107" s="45">
        <v>17</v>
      </c>
      <c r="G107" s="45">
        <f t="shared" si="5"/>
        <v>0.91</v>
      </c>
      <c r="H107" s="45">
        <f t="shared" si="6"/>
        <v>1.34</v>
      </c>
      <c r="I107" s="45">
        <f t="shared" si="7"/>
        <v>38.25</v>
      </c>
      <c r="K107" s="45">
        <v>1.1299999999999999</v>
      </c>
      <c r="L107" s="135">
        <v>1.66</v>
      </c>
      <c r="M107" s="141">
        <f t="shared" si="8"/>
        <v>15.47</v>
      </c>
      <c r="N107" s="141">
        <f t="shared" si="9"/>
        <v>22.78</v>
      </c>
    </row>
    <row r="108" spans="1:14" x14ac:dyDescent="0.2">
      <c r="A108" s="27" t="s">
        <v>209</v>
      </c>
      <c r="B108" s="19" t="s">
        <v>24</v>
      </c>
      <c r="C108" s="34">
        <v>72528</v>
      </c>
      <c r="D108" s="57" t="s">
        <v>210</v>
      </c>
      <c r="E108" s="27" t="s">
        <v>20</v>
      </c>
      <c r="F108" s="45">
        <v>5</v>
      </c>
      <c r="G108" s="45">
        <f t="shared" si="5"/>
        <v>4.9000000000000004</v>
      </c>
      <c r="H108" s="45">
        <f t="shared" si="6"/>
        <v>10.75</v>
      </c>
      <c r="I108" s="45">
        <f t="shared" si="7"/>
        <v>78.25</v>
      </c>
      <c r="K108" s="45">
        <v>6.05</v>
      </c>
      <c r="L108" s="135">
        <v>13.28</v>
      </c>
      <c r="M108" s="141">
        <f t="shared" si="8"/>
        <v>24.5</v>
      </c>
      <c r="N108" s="141">
        <f t="shared" si="9"/>
        <v>53.75</v>
      </c>
    </row>
    <row r="109" spans="1:14" x14ac:dyDescent="0.15">
      <c r="A109" s="2" t="s">
        <v>211</v>
      </c>
      <c r="B109" s="18"/>
      <c r="C109" s="35"/>
      <c r="D109" s="58" t="s">
        <v>212</v>
      </c>
      <c r="E109" s="35"/>
      <c r="F109" s="43"/>
      <c r="G109" s="125"/>
      <c r="H109" s="125"/>
      <c r="I109" s="125">
        <f>I110</f>
        <v>4166.01</v>
      </c>
      <c r="K109" s="43"/>
      <c r="L109" s="134"/>
      <c r="M109" s="141">
        <f t="shared" si="8"/>
        <v>0</v>
      </c>
      <c r="N109" s="141">
        <f t="shared" si="9"/>
        <v>0</v>
      </c>
    </row>
    <row r="110" spans="1:14" ht="18" x14ac:dyDescent="0.2">
      <c r="A110" s="27" t="s">
        <v>213</v>
      </c>
      <c r="B110" s="19" t="s">
        <v>24</v>
      </c>
      <c r="C110" s="34">
        <v>120902</v>
      </c>
      <c r="D110" s="57" t="s">
        <v>214</v>
      </c>
      <c r="E110" s="27" t="s">
        <v>26</v>
      </c>
      <c r="F110" s="45">
        <v>159.74</v>
      </c>
      <c r="G110" s="45">
        <f t="shared" si="5"/>
        <v>9.61</v>
      </c>
      <c r="H110" s="45">
        <f t="shared" si="6"/>
        <v>16.47</v>
      </c>
      <c r="I110" s="45">
        <f t="shared" si="7"/>
        <v>4166.01</v>
      </c>
      <c r="K110" s="45">
        <v>11.87</v>
      </c>
      <c r="L110" s="135">
        <v>20.34</v>
      </c>
      <c r="M110" s="141">
        <f t="shared" si="8"/>
        <v>1535.1</v>
      </c>
      <c r="N110" s="141">
        <f t="shared" si="9"/>
        <v>2630.91</v>
      </c>
    </row>
    <row r="111" spans="1:14" x14ac:dyDescent="0.15">
      <c r="A111" s="2" t="s">
        <v>215</v>
      </c>
      <c r="B111" s="18"/>
      <c r="C111" s="35"/>
      <c r="D111" s="58" t="s">
        <v>216</v>
      </c>
      <c r="E111" s="35"/>
      <c r="F111" s="43"/>
      <c r="G111" s="125"/>
      <c r="H111" s="125"/>
      <c r="I111" s="125">
        <f>I112</f>
        <v>192006.09</v>
      </c>
      <c r="K111" s="43"/>
      <c r="L111" s="134"/>
      <c r="M111" s="141">
        <f t="shared" si="8"/>
        <v>0</v>
      </c>
      <c r="N111" s="141">
        <f t="shared" si="9"/>
        <v>0</v>
      </c>
    </row>
    <row r="112" spans="1:14" ht="45" x14ac:dyDescent="0.2">
      <c r="A112" s="27" t="s">
        <v>217</v>
      </c>
      <c r="B112" s="21" t="s">
        <v>102</v>
      </c>
      <c r="C112" s="34">
        <v>100773</v>
      </c>
      <c r="D112" s="57" t="s">
        <v>218</v>
      </c>
      <c r="E112" s="27" t="s">
        <v>106</v>
      </c>
      <c r="F112" s="45">
        <v>10953</v>
      </c>
      <c r="G112" s="45">
        <f t="shared" si="5"/>
        <v>16.43</v>
      </c>
      <c r="H112" s="45">
        <f t="shared" si="6"/>
        <v>1.1000000000000001</v>
      </c>
      <c r="I112" s="45">
        <f t="shared" si="7"/>
        <v>192006.09</v>
      </c>
      <c r="K112" s="45">
        <v>20.29</v>
      </c>
      <c r="L112" s="135">
        <v>1.36</v>
      </c>
      <c r="M112" s="141">
        <f t="shared" si="8"/>
        <v>179957.79</v>
      </c>
      <c r="N112" s="141">
        <f t="shared" si="9"/>
        <v>12048.3</v>
      </c>
    </row>
    <row r="113" spans="1:14" x14ac:dyDescent="0.15">
      <c r="A113" s="2" t="s">
        <v>219</v>
      </c>
      <c r="B113" s="18"/>
      <c r="C113" s="35"/>
      <c r="D113" s="58" t="s">
        <v>220</v>
      </c>
      <c r="E113" s="35"/>
      <c r="F113" s="43"/>
      <c r="G113" s="125"/>
      <c r="H113" s="125"/>
      <c r="I113" s="125">
        <f>SUM(I114:I116)</f>
        <v>83064.710000000006</v>
      </c>
      <c r="K113" s="43"/>
      <c r="L113" s="134"/>
      <c r="M113" s="141">
        <f t="shared" si="8"/>
        <v>0</v>
      </c>
      <c r="N113" s="141">
        <f t="shared" si="9"/>
        <v>0</v>
      </c>
    </row>
    <row r="114" spans="1:14" ht="18" x14ac:dyDescent="0.2">
      <c r="A114" s="27" t="s">
        <v>221</v>
      </c>
      <c r="B114" s="19" t="s">
        <v>24</v>
      </c>
      <c r="C114" s="34">
        <v>160966</v>
      </c>
      <c r="D114" s="57" t="s">
        <v>222</v>
      </c>
      <c r="E114" s="27" t="s">
        <v>26</v>
      </c>
      <c r="F114" s="45">
        <v>956.52</v>
      </c>
      <c r="G114" s="45">
        <f t="shared" si="5"/>
        <v>47.8</v>
      </c>
      <c r="H114" s="45">
        <f t="shared" si="6"/>
        <v>4.3</v>
      </c>
      <c r="I114" s="45">
        <f t="shared" si="7"/>
        <v>49834.69</v>
      </c>
      <c r="K114" s="45">
        <v>59.02</v>
      </c>
      <c r="L114" s="135">
        <v>5.32</v>
      </c>
      <c r="M114" s="141">
        <f t="shared" si="8"/>
        <v>45721.65</v>
      </c>
      <c r="N114" s="141">
        <f t="shared" si="9"/>
        <v>4113.03</v>
      </c>
    </row>
    <row r="115" spans="1:14" ht="27" x14ac:dyDescent="0.2">
      <c r="A115" s="27" t="s">
        <v>223</v>
      </c>
      <c r="B115" s="19" t="s">
        <v>24</v>
      </c>
      <c r="C115" s="34">
        <v>160910</v>
      </c>
      <c r="D115" s="57" t="s">
        <v>224</v>
      </c>
      <c r="E115" s="27" t="s">
        <v>26</v>
      </c>
      <c r="F115" s="45">
        <v>384.41</v>
      </c>
      <c r="G115" s="45">
        <f t="shared" si="5"/>
        <v>68.930000000000007</v>
      </c>
      <c r="H115" s="45">
        <f t="shared" si="6"/>
        <v>9.41</v>
      </c>
      <c r="I115" s="45">
        <f t="shared" si="7"/>
        <v>30114.67</v>
      </c>
      <c r="K115" s="45">
        <v>85.1</v>
      </c>
      <c r="L115" s="135">
        <v>11.62</v>
      </c>
      <c r="M115" s="141">
        <f t="shared" si="8"/>
        <v>26497.38</v>
      </c>
      <c r="N115" s="141">
        <f t="shared" si="9"/>
        <v>3617.29</v>
      </c>
    </row>
    <row r="116" spans="1:14" ht="18" x14ac:dyDescent="0.2">
      <c r="A116" s="27" t="s">
        <v>225</v>
      </c>
      <c r="B116" s="19" t="s">
        <v>24</v>
      </c>
      <c r="C116" s="34">
        <v>160906</v>
      </c>
      <c r="D116" s="57" t="s">
        <v>226</v>
      </c>
      <c r="E116" s="27" t="s">
        <v>26</v>
      </c>
      <c r="F116" s="45">
        <v>77.400000000000006</v>
      </c>
      <c r="G116" s="45">
        <f t="shared" si="5"/>
        <v>35.950000000000003</v>
      </c>
      <c r="H116" s="45">
        <f t="shared" si="6"/>
        <v>4.3</v>
      </c>
      <c r="I116" s="45">
        <f t="shared" si="7"/>
        <v>3115.35</v>
      </c>
      <c r="K116" s="45">
        <v>44.39</v>
      </c>
      <c r="L116" s="135">
        <v>5.32</v>
      </c>
      <c r="M116" s="141">
        <f t="shared" si="8"/>
        <v>2782.53</v>
      </c>
      <c r="N116" s="141">
        <f t="shared" si="9"/>
        <v>332.82</v>
      </c>
    </row>
    <row r="117" spans="1:14" x14ac:dyDescent="0.15">
      <c r="A117" s="2" t="s">
        <v>227</v>
      </c>
      <c r="B117" s="18"/>
      <c r="C117" s="35"/>
      <c r="D117" s="58" t="s">
        <v>63</v>
      </c>
      <c r="E117" s="35"/>
      <c r="F117" s="43"/>
      <c r="G117" s="125"/>
      <c r="H117" s="125"/>
      <c r="I117" s="125">
        <f>SUM(I118:I119)</f>
        <v>17904.13</v>
      </c>
      <c r="K117" s="43"/>
      <c r="L117" s="134"/>
      <c r="M117" s="141">
        <f t="shared" si="8"/>
        <v>0</v>
      </c>
      <c r="N117" s="141">
        <f t="shared" si="9"/>
        <v>0</v>
      </c>
    </row>
    <row r="118" spans="1:14" x14ac:dyDescent="0.2">
      <c r="A118" s="27" t="s">
        <v>228</v>
      </c>
      <c r="B118" s="19" t="s">
        <v>24</v>
      </c>
      <c r="C118" s="34">
        <v>261003</v>
      </c>
      <c r="D118" s="57" t="s">
        <v>229</v>
      </c>
      <c r="E118" s="27" t="s">
        <v>26</v>
      </c>
      <c r="F118" s="45">
        <v>38</v>
      </c>
      <c r="G118" s="45">
        <f t="shared" si="5"/>
        <v>18.09</v>
      </c>
      <c r="H118" s="45">
        <f t="shared" si="6"/>
        <v>8.41</v>
      </c>
      <c r="I118" s="45">
        <f t="shared" si="7"/>
        <v>1007</v>
      </c>
      <c r="K118" s="45">
        <v>22.34</v>
      </c>
      <c r="L118" s="135">
        <v>10.39</v>
      </c>
      <c r="M118" s="141">
        <f t="shared" si="8"/>
        <v>687.42</v>
      </c>
      <c r="N118" s="141">
        <f t="shared" si="9"/>
        <v>319.58</v>
      </c>
    </row>
    <row r="119" spans="1:14" ht="18" x14ac:dyDescent="0.2">
      <c r="A119" s="27" t="s">
        <v>230</v>
      </c>
      <c r="B119" s="19" t="s">
        <v>24</v>
      </c>
      <c r="C119" s="34">
        <v>261609</v>
      </c>
      <c r="D119" s="57" t="s">
        <v>231</v>
      </c>
      <c r="E119" s="27" t="s">
        <v>26</v>
      </c>
      <c r="F119" s="45">
        <v>1350.69</v>
      </c>
      <c r="G119" s="45">
        <f t="shared" si="5"/>
        <v>9.6199999999999992</v>
      </c>
      <c r="H119" s="45">
        <f t="shared" si="6"/>
        <v>2.89</v>
      </c>
      <c r="I119" s="45">
        <f t="shared" si="7"/>
        <v>16897.13</v>
      </c>
      <c r="K119" s="45">
        <v>11.88</v>
      </c>
      <c r="L119" s="135">
        <v>3.58</v>
      </c>
      <c r="M119" s="141">
        <f t="shared" si="8"/>
        <v>12993.63</v>
      </c>
      <c r="N119" s="141">
        <f t="shared" si="9"/>
        <v>3903.49</v>
      </c>
    </row>
    <row r="120" spans="1:14" x14ac:dyDescent="0.15">
      <c r="A120" s="2" t="s">
        <v>232</v>
      </c>
      <c r="B120" s="18"/>
      <c r="C120" s="35"/>
      <c r="D120" s="58" t="s">
        <v>35</v>
      </c>
      <c r="E120" s="35"/>
      <c r="F120" s="43"/>
      <c r="G120" s="125"/>
      <c r="H120" s="125"/>
      <c r="I120" s="125">
        <f>SUM(I121:I122)</f>
        <v>701.99</v>
      </c>
      <c r="K120" s="43"/>
      <c r="L120" s="134"/>
      <c r="M120" s="141">
        <f t="shared" si="8"/>
        <v>0</v>
      </c>
      <c r="N120" s="141">
        <f t="shared" si="9"/>
        <v>0</v>
      </c>
    </row>
    <row r="121" spans="1:14" x14ac:dyDescent="0.2">
      <c r="A121" s="27" t="s">
        <v>233</v>
      </c>
      <c r="B121" s="19" t="s">
        <v>24</v>
      </c>
      <c r="C121" s="34">
        <v>270501</v>
      </c>
      <c r="D121" s="57" t="s">
        <v>39</v>
      </c>
      <c r="E121" s="27" t="s">
        <v>26</v>
      </c>
      <c r="F121" s="45">
        <v>265.72000000000003</v>
      </c>
      <c r="G121" s="45">
        <f t="shared" si="5"/>
        <v>0.85</v>
      </c>
      <c r="H121" s="45">
        <f t="shared" si="6"/>
        <v>1.49</v>
      </c>
      <c r="I121" s="45">
        <f t="shared" si="7"/>
        <v>621.78</v>
      </c>
      <c r="K121" s="45">
        <v>1.06</v>
      </c>
      <c r="L121" s="135">
        <v>1.85</v>
      </c>
      <c r="M121" s="141">
        <f t="shared" si="8"/>
        <v>225.86</v>
      </c>
      <c r="N121" s="141">
        <f t="shared" si="9"/>
        <v>395.92</v>
      </c>
    </row>
    <row r="122" spans="1:14" x14ac:dyDescent="0.2">
      <c r="A122" s="27" t="s">
        <v>234</v>
      </c>
      <c r="B122" s="19" t="s">
        <v>24</v>
      </c>
      <c r="C122" s="34">
        <v>270501</v>
      </c>
      <c r="D122" s="57" t="s">
        <v>39</v>
      </c>
      <c r="E122" s="27" t="s">
        <v>26</v>
      </c>
      <c r="F122" s="45">
        <v>34.28</v>
      </c>
      <c r="G122" s="45">
        <f t="shared" si="5"/>
        <v>0.85</v>
      </c>
      <c r="H122" s="45">
        <f t="shared" si="6"/>
        <v>1.49</v>
      </c>
      <c r="I122" s="45">
        <f t="shared" si="7"/>
        <v>80.209999999999994</v>
      </c>
      <c r="K122" s="45">
        <v>1.06</v>
      </c>
      <c r="L122" s="135">
        <v>1.85</v>
      </c>
      <c r="M122" s="141">
        <f t="shared" si="8"/>
        <v>29.13</v>
      </c>
      <c r="N122" s="141">
        <f t="shared" si="9"/>
        <v>51.07</v>
      </c>
    </row>
    <row r="123" spans="1:14" x14ac:dyDescent="0.15">
      <c r="A123" s="30">
        <v>4</v>
      </c>
      <c r="B123" s="20"/>
      <c r="C123" s="33"/>
      <c r="D123" s="59" t="s">
        <v>9</v>
      </c>
      <c r="E123" s="38" t="s">
        <v>20</v>
      </c>
      <c r="F123" s="41"/>
      <c r="G123" s="126"/>
      <c r="H123" s="126"/>
      <c r="I123" s="126">
        <f>SUM(I124,I127)</f>
        <v>2116.4300000000003</v>
      </c>
      <c r="K123" s="41"/>
      <c r="L123" s="136"/>
      <c r="M123" s="141">
        <f t="shared" si="8"/>
        <v>0</v>
      </c>
      <c r="N123" s="141">
        <f t="shared" si="9"/>
        <v>0</v>
      </c>
    </row>
    <row r="124" spans="1:14" x14ac:dyDescent="0.15">
      <c r="A124" s="2" t="s">
        <v>235</v>
      </c>
      <c r="B124" s="18"/>
      <c r="C124" s="35"/>
      <c r="D124" s="58" t="s">
        <v>74</v>
      </c>
      <c r="E124" s="35"/>
      <c r="F124" s="43"/>
      <c r="G124" s="125"/>
      <c r="H124" s="125"/>
      <c r="I124" s="125">
        <f>SUM(I125:I126)</f>
        <v>20.399999999999999</v>
      </c>
      <c r="K124" s="43"/>
      <c r="L124" s="134"/>
      <c r="M124" s="141">
        <f t="shared" si="8"/>
        <v>0</v>
      </c>
      <c r="N124" s="141">
        <f t="shared" si="9"/>
        <v>0</v>
      </c>
    </row>
    <row r="125" spans="1:14" ht="18" x14ac:dyDescent="0.2">
      <c r="A125" s="27" t="s">
        <v>236</v>
      </c>
      <c r="B125" s="19" t="s">
        <v>24</v>
      </c>
      <c r="C125" s="34">
        <v>40101</v>
      </c>
      <c r="D125" s="57" t="s">
        <v>86</v>
      </c>
      <c r="E125" s="27" t="s">
        <v>43</v>
      </c>
      <c r="F125" s="45">
        <v>0.48</v>
      </c>
      <c r="G125" s="45">
        <f t="shared" si="5"/>
        <v>0</v>
      </c>
      <c r="H125" s="45">
        <f t="shared" si="6"/>
        <v>25.58</v>
      </c>
      <c r="I125" s="45">
        <f t="shared" si="7"/>
        <v>12.27</v>
      </c>
      <c r="K125" s="45">
        <v>0</v>
      </c>
      <c r="L125" s="135">
        <v>31.59</v>
      </c>
      <c r="M125" s="141">
        <f t="shared" si="8"/>
        <v>0</v>
      </c>
      <c r="N125" s="141">
        <f t="shared" si="9"/>
        <v>12.27</v>
      </c>
    </row>
    <row r="126" spans="1:14" x14ac:dyDescent="0.2">
      <c r="A126" s="27" t="s">
        <v>237</v>
      </c>
      <c r="B126" s="19" t="s">
        <v>24</v>
      </c>
      <c r="C126" s="34">
        <v>40902</v>
      </c>
      <c r="D126" s="57" t="s">
        <v>82</v>
      </c>
      <c r="E126" s="27" t="s">
        <v>43</v>
      </c>
      <c r="F126" s="45">
        <v>0.48</v>
      </c>
      <c r="G126" s="45">
        <f t="shared" si="5"/>
        <v>0</v>
      </c>
      <c r="H126" s="45">
        <f t="shared" si="6"/>
        <v>16.95</v>
      </c>
      <c r="I126" s="45">
        <f t="shared" si="7"/>
        <v>8.1300000000000008</v>
      </c>
      <c r="K126" s="45">
        <v>0</v>
      </c>
      <c r="L126" s="135">
        <v>20.93</v>
      </c>
      <c r="M126" s="141">
        <f t="shared" si="8"/>
        <v>0</v>
      </c>
      <c r="N126" s="141">
        <f t="shared" si="9"/>
        <v>8.1300000000000008</v>
      </c>
    </row>
    <row r="127" spans="1:14" x14ac:dyDescent="0.15">
      <c r="A127" s="2" t="s">
        <v>238</v>
      </c>
      <c r="B127" s="18"/>
      <c r="C127" s="35"/>
      <c r="D127" s="58" t="s">
        <v>138</v>
      </c>
      <c r="E127" s="35"/>
      <c r="F127" s="43"/>
      <c r="G127" s="125"/>
      <c r="H127" s="125"/>
      <c r="I127" s="125">
        <f>I128</f>
        <v>2096.0300000000002</v>
      </c>
      <c r="K127" s="43"/>
      <c r="L127" s="134"/>
      <c r="M127" s="141">
        <f t="shared" si="8"/>
        <v>0</v>
      </c>
      <c r="N127" s="141">
        <f t="shared" si="9"/>
        <v>0</v>
      </c>
    </row>
    <row r="128" spans="1:14" x14ac:dyDescent="0.15">
      <c r="A128" s="31" t="s">
        <v>239</v>
      </c>
      <c r="B128" s="22"/>
      <c r="C128" s="36"/>
      <c r="D128" s="60" t="s">
        <v>240</v>
      </c>
      <c r="E128" s="36"/>
      <c r="F128" s="46"/>
      <c r="G128" s="46"/>
      <c r="H128" s="46"/>
      <c r="I128" s="127">
        <f>SUM(I129:I138)</f>
        <v>2096.0300000000002</v>
      </c>
      <c r="K128" s="46"/>
      <c r="L128" s="137"/>
      <c r="M128" s="141">
        <f t="shared" si="8"/>
        <v>0</v>
      </c>
      <c r="N128" s="141">
        <f t="shared" si="9"/>
        <v>0</v>
      </c>
    </row>
    <row r="129" spans="1:14" x14ac:dyDescent="0.2">
      <c r="A129" s="27" t="s">
        <v>241</v>
      </c>
      <c r="B129" s="19" t="s">
        <v>24</v>
      </c>
      <c r="C129" s="34">
        <v>70583</v>
      </c>
      <c r="D129" s="57" t="s">
        <v>242</v>
      </c>
      <c r="E129" s="27" t="s">
        <v>94</v>
      </c>
      <c r="F129" s="45">
        <v>115</v>
      </c>
      <c r="G129" s="45">
        <f t="shared" si="5"/>
        <v>4.8099999999999996</v>
      </c>
      <c r="H129" s="45">
        <f t="shared" si="6"/>
        <v>1.74</v>
      </c>
      <c r="I129" s="45">
        <f t="shared" si="7"/>
        <v>753.25</v>
      </c>
      <c r="K129" s="45">
        <v>5.95</v>
      </c>
      <c r="L129" s="135">
        <v>2.16</v>
      </c>
      <c r="M129" s="141">
        <f t="shared" si="8"/>
        <v>553.15</v>
      </c>
      <c r="N129" s="141">
        <f t="shared" si="9"/>
        <v>200.1</v>
      </c>
    </row>
    <row r="130" spans="1:14" ht="36" x14ac:dyDescent="0.2">
      <c r="A130" s="27" t="s">
        <v>243</v>
      </c>
      <c r="B130" s="21" t="s">
        <v>102</v>
      </c>
      <c r="C130" s="34">
        <v>97667</v>
      </c>
      <c r="D130" s="57" t="s">
        <v>244</v>
      </c>
      <c r="E130" s="27" t="s">
        <v>94</v>
      </c>
      <c r="F130" s="45">
        <v>10</v>
      </c>
      <c r="G130" s="45">
        <f t="shared" si="5"/>
        <v>4.47</v>
      </c>
      <c r="H130" s="45">
        <f t="shared" si="6"/>
        <v>1.88</v>
      </c>
      <c r="I130" s="45">
        <f t="shared" si="7"/>
        <v>63.5</v>
      </c>
      <c r="K130" s="45">
        <v>5.52</v>
      </c>
      <c r="L130" s="135">
        <v>2.33</v>
      </c>
      <c r="M130" s="141">
        <f t="shared" si="8"/>
        <v>44.7</v>
      </c>
      <c r="N130" s="141">
        <f t="shared" si="9"/>
        <v>18.8</v>
      </c>
    </row>
    <row r="131" spans="1:14" ht="18" x14ac:dyDescent="0.2">
      <c r="A131" s="27" t="s">
        <v>245</v>
      </c>
      <c r="B131" s="19" t="s">
        <v>24</v>
      </c>
      <c r="C131" s="34">
        <v>70714</v>
      </c>
      <c r="D131" s="57" t="s">
        <v>246</v>
      </c>
      <c r="E131" s="27" t="s">
        <v>20</v>
      </c>
      <c r="F131" s="45">
        <v>2</v>
      </c>
      <c r="G131" s="45">
        <f t="shared" si="5"/>
        <v>109.56</v>
      </c>
      <c r="H131" s="45">
        <f t="shared" si="6"/>
        <v>158.16999999999999</v>
      </c>
      <c r="I131" s="45">
        <f t="shared" si="7"/>
        <v>535.46</v>
      </c>
      <c r="K131" s="45">
        <v>135.26</v>
      </c>
      <c r="L131" s="135">
        <v>195.28</v>
      </c>
      <c r="M131" s="141">
        <f t="shared" si="8"/>
        <v>219.12</v>
      </c>
      <c r="N131" s="141">
        <f t="shared" si="9"/>
        <v>316.33999999999997</v>
      </c>
    </row>
    <row r="132" spans="1:14" ht="27" x14ac:dyDescent="0.2">
      <c r="A132" s="27" t="s">
        <v>247</v>
      </c>
      <c r="B132" s="19" t="s">
        <v>102</v>
      </c>
      <c r="C132" s="34">
        <v>101798</v>
      </c>
      <c r="D132" s="57" t="s">
        <v>248</v>
      </c>
      <c r="E132" s="27" t="s">
        <v>20</v>
      </c>
      <c r="F132" s="45">
        <v>2</v>
      </c>
      <c r="G132" s="45">
        <f t="shared" si="5"/>
        <v>237.74</v>
      </c>
      <c r="H132" s="45">
        <f t="shared" si="6"/>
        <v>25.2</v>
      </c>
      <c r="I132" s="45">
        <f t="shared" si="7"/>
        <v>525.88</v>
      </c>
      <c r="K132" s="45">
        <v>293.51</v>
      </c>
      <c r="L132" s="135">
        <v>31.12</v>
      </c>
      <c r="M132" s="141">
        <f t="shared" si="8"/>
        <v>475.48</v>
      </c>
      <c r="N132" s="141">
        <f t="shared" si="9"/>
        <v>50.4</v>
      </c>
    </row>
    <row r="133" spans="1:14" x14ac:dyDescent="0.2">
      <c r="A133" s="27" t="s">
        <v>249</v>
      </c>
      <c r="B133" s="19" t="s">
        <v>24</v>
      </c>
      <c r="C133" s="34">
        <v>71202</v>
      </c>
      <c r="D133" s="57" t="s">
        <v>206</v>
      </c>
      <c r="E133" s="27" t="s">
        <v>94</v>
      </c>
      <c r="F133" s="45">
        <v>11</v>
      </c>
      <c r="G133" s="45">
        <f t="shared" si="5"/>
        <v>3.31</v>
      </c>
      <c r="H133" s="45">
        <f t="shared" si="6"/>
        <v>5.37</v>
      </c>
      <c r="I133" s="45">
        <f t="shared" si="7"/>
        <v>95.48</v>
      </c>
      <c r="K133" s="45">
        <v>4.09</v>
      </c>
      <c r="L133" s="135">
        <v>6.64</v>
      </c>
      <c r="M133" s="141">
        <f t="shared" si="8"/>
        <v>36.409999999999997</v>
      </c>
      <c r="N133" s="141">
        <f t="shared" si="9"/>
        <v>59.07</v>
      </c>
    </row>
    <row r="134" spans="1:14" x14ac:dyDescent="0.2">
      <c r="A134" s="27" t="s">
        <v>250</v>
      </c>
      <c r="B134" s="19" t="s">
        <v>24</v>
      </c>
      <c r="C134" s="34">
        <v>70352</v>
      </c>
      <c r="D134" s="57" t="s">
        <v>142</v>
      </c>
      <c r="E134" s="27" t="s">
        <v>20</v>
      </c>
      <c r="F134" s="45">
        <v>8</v>
      </c>
      <c r="G134" s="45">
        <f t="shared" si="5"/>
        <v>0.45</v>
      </c>
      <c r="H134" s="45">
        <f t="shared" si="6"/>
        <v>0.26</v>
      </c>
      <c r="I134" s="45">
        <f t="shared" si="7"/>
        <v>5.68</v>
      </c>
      <c r="K134" s="45">
        <v>0.56000000000000005</v>
      </c>
      <c r="L134" s="135">
        <v>0.33</v>
      </c>
      <c r="M134" s="141">
        <f t="shared" si="8"/>
        <v>3.6</v>
      </c>
      <c r="N134" s="141">
        <f t="shared" si="9"/>
        <v>2.08</v>
      </c>
    </row>
    <row r="135" spans="1:14" x14ac:dyDescent="0.2">
      <c r="A135" s="27" t="s">
        <v>251</v>
      </c>
      <c r="B135" s="19" t="s">
        <v>24</v>
      </c>
      <c r="C135" s="34">
        <v>71861</v>
      </c>
      <c r="D135" s="57" t="s">
        <v>252</v>
      </c>
      <c r="E135" s="27" t="s">
        <v>20</v>
      </c>
      <c r="F135" s="45">
        <v>16</v>
      </c>
      <c r="G135" s="45">
        <f t="shared" si="5"/>
        <v>0.04</v>
      </c>
      <c r="H135" s="45">
        <f t="shared" si="6"/>
        <v>0.26</v>
      </c>
      <c r="I135" s="45">
        <f t="shared" si="7"/>
        <v>4.8</v>
      </c>
      <c r="K135" s="45">
        <v>0.05</v>
      </c>
      <c r="L135" s="135">
        <v>0.33</v>
      </c>
      <c r="M135" s="141">
        <f t="shared" si="8"/>
        <v>0.64</v>
      </c>
      <c r="N135" s="141">
        <f t="shared" si="9"/>
        <v>4.16</v>
      </c>
    </row>
    <row r="136" spans="1:14" x14ac:dyDescent="0.2">
      <c r="A136" s="27" t="s">
        <v>253</v>
      </c>
      <c r="B136" s="19" t="s">
        <v>24</v>
      </c>
      <c r="C136" s="34">
        <v>70422</v>
      </c>
      <c r="D136" s="57" t="s">
        <v>147</v>
      </c>
      <c r="E136" s="27" t="s">
        <v>148</v>
      </c>
      <c r="F136" s="45">
        <v>16</v>
      </c>
      <c r="G136" s="45">
        <f t="shared" si="5"/>
        <v>1.36</v>
      </c>
      <c r="H136" s="45">
        <f t="shared" si="6"/>
        <v>0.26</v>
      </c>
      <c r="I136" s="45">
        <f t="shared" si="7"/>
        <v>25.92</v>
      </c>
      <c r="K136" s="45">
        <v>1.68</v>
      </c>
      <c r="L136" s="135">
        <v>0.33</v>
      </c>
      <c r="M136" s="141">
        <f t="shared" si="8"/>
        <v>21.76</v>
      </c>
      <c r="N136" s="141">
        <f t="shared" si="9"/>
        <v>4.16</v>
      </c>
    </row>
    <row r="137" spans="1:14" x14ac:dyDescent="0.2">
      <c r="A137" s="27" t="s">
        <v>254</v>
      </c>
      <c r="B137" s="19" t="s">
        <v>24</v>
      </c>
      <c r="C137" s="34">
        <v>71742</v>
      </c>
      <c r="D137" s="57" t="s">
        <v>208</v>
      </c>
      <c r="E137" s="27" t="s">
        <v>20</v>
      </c>
      <c r="F137" s="45">
        <v>4</v>
      </c>
      <c r="G137" s="45">
        <f t="shared" ref="G137:G160" si="10">TRUNC(K137*$K$6,2)</f>
        <v>0.91</v>
      </c>
      <c r="H137" s="45">
        <f t="shared" ref="H137:H160" si="11">TRUNC(L137*$K$6,2)</f>
        <v>1.34</v>
      </c>
      <c r="I137" s="45">
        <f t="shared" ref="I137:I160" si="12">TRUNC(F137*(G137+H137),2)</f>
        <v>9</v>
      </c>
      <c r="K137" s="45">
        <v>1.1299999999999999</v>
      </c>
      <c r="L137" s="135">
        <v>1.66</v>
      </c>
      <c r="M137" s="141">
        <f t="shared" ref="M137:M160" si="13">TRUNC(G137*F137,2)</f>
        <v>3.64</v>
      </c>
      <c r="N137" s="141">
        <f t="shared" ref="N137:N160" si="14">TRUNC(H137*F137,2)</f>
        <v>5.36</v>
      </c>
    </row>
    <row r="138" spans="1:14" x14ac:dyDescent="0.2">
      <c r="A138" s="27" t="s">
        <v>255</v>
      </c>
      <c r="B138" s="19" t="s">
        <v>24</v>
      </c>
      <c r="C138" s="34">
        <v>71173</v>
      </c>
      <c r="D138" s="57" t="s">
        <v>166</v>
      </c>
      <c r="E138" s="27" t="s">
        <v>20</v>
      </c>
      <c r="F138" s="45">
        <v>1</v>
      </c>
      <c r="G138" s="45">
        <f t="shared" si="10"/>
        <v>52.86</v>
      </c>
      <c r="H138" s="45">
        <f t="shared" si="11"/>
        <v>24.2</v>
      </c>
      <c r="I138" s="45">
        <f t="shared" si="12"/>
        <v>77.06</v>
      </c>
      <c r="K138" s="45">
        <v>65.27</v>
      </c>
      <c r="L138" s="135">
        <v>29.88</v>
      </c>
      <c r="M138" s="141">
        <f t="shared" si="13"/>
        <v>52.86</v>
      </c>
      <c r="N138" s="141">
        <f t="shared" si="14"/>
        <v>24.2</v>
      </c>
    </row>
    <row r="139" spans="1:14" x14ac:dyDescent="0.15">
      <c r="A139" s="30">
        <v>5</v>
      </c>
      <c r="B139" s="20"/>
      <c r="C139" s="33"/>
      <c r="D139" s="59" t="s">
        <v>10</v>
      </c>
      <c r="E139" s="38" t="s">
        <v>20</v>
      </c>
      <c r="F139" s="41"/>
      <c r="G139" s="126"/>
      <c r="H139" s="126"/>
      <c r="I139" s="126">
        <f>I140</f>
        <v>22580.669999999995</v>
      </c>
      <c r="K139" s="41"/>
      <c r="L139" s="136"/>
      <c r="M139" s="141">
        <f t="shared" si="13"/>
        <v>0</v>
      </c>
      <c r="N139" s="141">
        <f t="shared" si="14"/>
        <v>0</v>
      </c>
    </row>
    <row r="140" spans="1:14" x14ac:dyDescent="0.15">
      <c r="A140" s="2" t="s">
        <v>256</v>
      </c>
      <c r="B140" s="18"/>
      <c r="C140" s="35"/>
      <c r="D140" s="58" t="s">
        <v>257</v>
      </c>
      <c r="E140" s="35"/>
      <c r="F140" s="43"/>
      <c r="G140" s="125"/>
      <c r="H140" s="125"/>
      <c r="I140" s="125">
        <f>SUM(I141,I147,I150,I152)</f>
        <v>22580.669999999995</v>
      </c>
      <c r="K140" s="43"/>
      <c r="L140" s="134"/>
      <c r="M140" s="141">
        <f t="shared" si="13"/>
        <v>0</v>
      </c>
      <c r="N140" s="141">
        <f t="shared" si="14"/>
        <v>0</v>
      </c>
    </row>
    <row r="141" spans="1:14" x14ac:dyDescent="0.15">
      <c r="A141" s="31" t="s">
        <v>258</v>
      </c>
      <c r="B141" s="22"/>
      <c r="C141" s="36"/>
      <c r="D141" s="60" t="s">
        <v>259</v>
      </c>
      <c r="E141" s="36"/>
      <c r="F141" s="46"/>
      <c r="G141" s="46"/>
      <c r="H141" s="46"/>
      <c r="I141" s="127">
        <f>SUM(I142:I146)</f>
        <v>18967.12</v>
      </c>
      <c r="K141" s="46"/>
      <c r="L141" s="137"/>
      <c r="M141" s="141">
        <f t="shared" si="13"/>
        <v>0</v>
      </c>
      <c r="N141" s="141">
        <f t="shared" si="14"/>
        <v>0</v>
      </c>
    </row>
    <row r="142" spans="1:14" ht="27" x14ac:dyDescent="0.2">
      <c r="A142" s="27" t="s">
        <v>260</v>
      </c>
      <c r="B142" s="19" t="s">
        <v>24</v>
      </c>
      <c r="C142" s="34">
        <v>180323</v>
      </c>
      <c r="D142" s="57" t="s">
        <v>261</v>
      </c>
      <c r="E142" s="27" t="s">
        <v>26</v>
      </c>
      <c r="F142" s="45">
        <v>25.64</v>
      </c>
      <c r="G142" s="45">
        <f t="shared" si="10"/>
        <v>515.16</v>
      </c>
      <c r="H142" s="45">
        <f t="shared" si="11"/>
        <v>52.27</v>
      </c>
      <c r="I142" s="45">
        <f t="shared" si="12"/>
        <v>14548.9</v>
      </c>
      <c r="K142" s="45">
        <v>636</v>
      </c>
      <c r="L142" s="135">
        <v>64.540000000000006</v>
      </c>
      <c r="M142" s="141">
        <f t="shared" si="13"/>
        <v>13208.7</v>
      </c>
      <c r="N142" s="141">
        <f t="shared" si="14"/>
        <v>1340.2</v>
      </c>
    </row>
    <row r="143" spans="1:14" ht="18" x14ac:dyDescent="0.2">
      <c r="A143" s="27" t="s">
        <v>262</v>
      </c>
      <c r="B143" s="19" t="s">
        <v>24</v>
      </c>
      <c r="C143" s="34">
        <v>271417</v>
      </c>
      <c r="D143" s="57" t="s">
        <v>263</v>
      </c>
      <c r="E143" s="27" t="s">
        <v>94</v>
      </c>
      <c r="F143" s="45">
        <v>64.099999999999994</v>
      </c>
      <c r="G143" s="45">
        <f t="shared" si="10"/>
        <v>13.76</v>
      </c>
      <c r="H143" s="45">
        <f t="shared" si="11"/>
        <v>26.95</v>
      </c>
      <c r="I143" s="45">
        <f t="shared" si="12"/>
        <v>2609.5100000000002</v>
      </c>
      <c r="K143" s="45">
        <v>16.989999999999998</v>
      </c>
      <c r="L143" s="135">
        <v>33.28</v>
      </c>
      <c r="M143" s="141">
        <f t="shared" si="13"/>
        <v>882.01</v>
      </c>
      <c r="N143" s="141">
        <f t="shared" si="14"/>
        <v>1727.49</v>
      </c>
    </row>
    <row r="144" spans="1:14" ht="27" x14ac:dyDescent="0.2">
      <c r="A144" s="27" t="s">
        <v>264</v>
      </c>
      <c r="B144" s="19" t="s">
        <v>24</v>
      </c>
      <c r="C144" s="34">
        <v>81828</v>
      </c>
      <c r="D144" s="57" t="s">
        <v>265</v>
      </c>
      <c r="E144" s="27" t="s">
        <v>20</v>
      </c>
      <c r="F144" s="45">
        <v>3</v>
      </c>
      <c r="G144" s="45">
        <f t="shared" si="10"/>
        <v>359.26</v>
      </c>
      <c r="H144" s="45">
        <f t="shared" si="11"/>
        <v>212.22</v>
      </c>
      <c r="I144" s="45">
        <f t="shared" si="12"/>
        <v>1714.44</v>
      </c>
      <c r="K144" s="45">
        <v>443.54</v>
      </c>
      <c r="L144" s="135">
        <v>262</v>
      </c>
      <c r="M144" s="141">
        <f t="shared" si="13"/>
        <v>1077.78</v>
      </c>
      <c r="N144" s="141">
        <f t="shared" si="14"/>
        <v>636.66</v>
      </c>
    </row>
    <row r="145" spans="1:14" x14ac:dyDescent="0.2">
      <c r="A145" s="27" t="s">
        <v>266</v>
      </c>
      <c r="B145" s="19" t="s">
        <v>24</v>
      </c>
      <c r="C145" s="34">
        <v>81504</v>
      </c>
      <c r="D145" s="57" t="s">
        <v>267</v>
      </c>
      <c r="E145" s="27" t="s">
        <v>20</v>
      </c>
      <c r="F145" s="45">
        <v>1</v>
      </c>
      <c r="G145" s="45">
        <f t="shared" si="10"/>
        <v>45.89</v>
      </c>
      <c r="H145" s="45">
        <f t="shared" si="11"/>
        <v>0</v>
      </c>
      <c r="I145" s="45">
        <f t="shared" si="12"/>
        <v>45.89</v>
      </c>
      <c r="K145" s="45">
        <v>56.66</v>
      </c>
      <c r="L145" s="135">
        <v>0</v>
      </c>
      <c r="M145" s="141">
        <f t="shared" si="13"/>
        <v>45.89</v>
      </c>
      <c r="N145" s="141">
        <f t="shared" si="14"/>
        <v>0</v>
      </c>
    </row>
    <row r="146" spans="1:14" x14ac:dyDescent="0.2">
      <c r="A146" s="27" t="s">
        <v>268</v>
      </c>
      <c r="B146" s="19" t="s">
        <v>24</v>
      </c>
      <c r="C146" s="34">
        <v>81501</v>
      </c>
      <c r="D146" s="57" t="s">
        <v>269</v>
      </c>
      <c r="E146" s="27" t="s">
        <v>20</v>
      </c>
      <c r="F146" s="45">
        <v>1</v>
      </c>
      <c r="G146" s="45">
        <f t="shared" si="10"/>
        <v>48.38</v>
      </c>
      <c r="H146" s="45">
        <f t="shared" si="11"/>
        <v>0</v>
      </c>
      <c r="I146" s="45">
        <f t="shared" si="12"/>
        <v>48.38</v>
      </c>
      <c r="K146" s="45">
        <v>59.73</v>
      </c>
      <c r="L146" s="135">
        <v>0</v>
      </c>
      <c r="M146" s="141">
        <f t="shared" si="13"/>
        <v>48.38</v>
      </c>
      <c r="N146" s="141">
        <f t="shared" si="14"/>
        <v>0</v>
      </c>
    </row>
    <row r="147" spans="1:14" x14ac:dyDescent="0.15">
      <c r="A147" s="31" t="s">
        <v>270</v>
      </c>
      <c r="B147" s="22"/>
      <c r="C147" s="36"/>
      <c r="D147" s="60" t="s">
        <v>271</v>
      </c>
      <c r="E147" s="36"/>
      <c r="F147" s="46"/>
      <c r="G147" s="127"/>
      <c r="H147" s="127"/>
      <c r="I147" s="127">
        <f>SUM(I148:I149)</f>
        <v>2949.12</v>
      </c>
      <c r="K147" s="46"/>
      <c r="L147" s="137"/>
      <c r="M147" s="141">
        <f t="shared" si="13"/>
        <v>0</v>
      </c>
      <c r="N147" s="141">
        <f t="shared" si="14"/>
        <v>0</v>
      </c>
    </row>
    <row r="148" spans="1:14" x14ac:dyDescent="0.2">
      <c r="A148" s="27" t="s">
        <v>272</v>
      </c>
      <c r="B148" s="19" t="s">
        <v>24</v>
      </c>
      <c r="C148" s="34">
        <v>82304</v>
      </c>
      <c r="D148" s="57" t="s">
        <v>273</v>
      </c>
      <c r="E148" s="27" t="s">
        <v>94</v>
      </c>
      <c r="F148" s="45">
        <v>36</v>
      </c>
      <c r="G148" s="45">
        <f t="shared" si="10"/>
        <v>12.49</v>
      </c>
      <c r="H148" s="45">
        <f t="shared" si="11"/>
        <v>13.98</v>
      </c>
      <c r="I148" s="45">
        <f t="shared" si="12"/>
        <v>952.92</v>
      </c>
      <c r="K148" s="45">
        <v>15.42</v>
      </c>
      <c r="L148" s="135">
        <v>17.260000000000002</v>
      </c>
      <c r="M148" s="141">
        <f t="shared" si="13"/>
        <v>449.64</v>
      </c>
      <c r="N148" s="141">
        <f t="shared" si="14"/>
        <v>503.28</v>
      </c>
    </row>
    <row r="149" spans="1:14" ht="36" x14ac:dyDescent="0.2">
      <c r="A149" s="27" t="s">
        <v>274</v>
      </c>
      <c r="B149" s="19" t="s">
        <v>102</v>
      </c>
      <c r="C149" s="34">
        <v>89849</v>
      </c>
      <c r="D149" s="57" t="s">
        <v>275</v>
      </c>
      <c r="E149" s="27" t="s">
        <v>94</v>
      </c>
      <c r="F149" s="45">
        <v>36</v>
      </c>
      <c r="G149" s="45">
        <f t="shared" si="10"/>
        <v>45.15</v>
      </c>
      <c r="H149" s="45">
        <f t="shared" si="11"/>
        <v>10.3</v>
      </c>
      <c r="I149" s="45">
        <f t="shared" si="12"/>
        <v>1996.2</v>
      </c>
      <c r="K149" s="45">
        <v>55.75</v>
      </c>
      <c r="L149" s="135">
        <v>12.72</v>
      </c>
      <c r="M149" s="141">
        <f t="shared" si="13"/>
        <v>1625.4</v>
      </c>
      <c r="N149" s="141">
        <f t="shared" si="14"/>
        <v>370.8</v>
      </c>
    </row>
    <row r="150" spans="1:14" x14ac:dyDescent="0.15">
      <c r="A150" s="31" t="s">
        <v>276</v>
      </c>
      <c r="B150" s="22"/>
      <c r="C150" s="36"/>
      <c r="D150" s="60" t="s">
        <v>277</v>
      </c>
      <c r="E150" s="36"/>
      <c r="F150" s="46"/>
      <c r="G150" s="127"/>
      <c r="H150" s="127"/>
      <c r="I150" s="127">
        <f>I151</f>
        <v>100.92</v>
      </c>
      <c r="K150" s="46"/>
      <c r="L150" s="137"/>
      <c r="M150" s="141">
        <f t="shared" si="13"/>
        <v>0</v>
      </c>
      <c r="N150" s="141">
        <f t="shared" si="14"/>
        <v>0</v>
      </c>
    </row>
    <row r="151" spans="1:14" ht="36" x14ac:dyDescent="0.2">
      <c r="A151" s="27" t="s">
        <v>278</v>
      </c>
      <c r="B151" s="21" t="s">
        <v>102</v>
      </c>
      <c r="C151" s="34">
        <v>95693</v>
      </c>
      <c r="D151" s="57" t="s">
        <v>279</v>
      </c>
      <c r="E151" s="27" t="s">
        <v>20</v>
      </c>
      <c r="F151" s="45">
        <v>2</v>
      </c>
      <c r="G151" s="45">
        <f t="shared" si="10"/>
        <v>44.35</v>
      </c>
      <c r="H151" s="45">
        <f t="shared" si="11"/>
        <v>6.11</v>
      </c>
      <c r="I151" s="45">
        <f t="shared" si="12"/>
        <v>100.92</v>
      </c>
      <c r="K151" s="45">
        <v>54.76</v>
      </c>
      <c r="L151" s="135">
        <v>7.55</v>
      </c>
      <c r="M151" s="141">
        <f t="shared" si="13"/>
        <v>88.7</v>
      </c>
      <c r="N151" s="141">
        <f t="shared" si="14"/>
        <v>12.22</v>
      </c>
    </row>
    <row r="152" spans="1:14" x14ac:dyDescent="0.15">
      <c r="A152" s="31" t="s">
        <v>280</v>
      </c>
      <c r="B152" s="22"/>
      <c r="C152" s="36"/>
      <c r="D152" s="60" t="s">
        <v>281</v>
      </c>
      <c r="E152" s="36"/>
      <c r="F152" s="46"/>
      <c r="G152" s="127"/>
      <c r="H152" s="127"/>
      <c r="I152" s="127">
        <f>SUM(I153:I154)</f>
        <v>563.51</v>
      </c>
      <c r="K152" s="46"/>
      <c r="L152" s="137"/>
      <c r="M152" s="141">
        <f t="shared" si="13"/>
        <v>0</v>
      </c>
      <c r="N152" s="141">
        <f t="shared" si="14"/>
        <v>0</v>
      </c>
    </row>
    <row r="153" spans="1:14" ht="18" x14ac:dyDescent="0.2">
      <c r="A153" s="27" t="s">
        <v>282</v>
      </c>
      <c r="B153" s="19" t="s">
        <v>24</v>
      </c>
      <c r="C153" s="34">
        <v>40101</v>
      </c>
      <c r="D153" s="57" t="s">
        <v>86</v>
      </c>
      <c r="E153" s="27" t="s">
        <v>43</v>
      </c>
      <c r="F153" s="45">
        <v>13.25</v>
      </c>
      <c r="G153" s="45">
        <f t="shared" si="10"/>
        <v>0</v>
      </c>
      <c r="H153" s="45">
        <f t="shared" si="11"/>
        <v>25.58</v>
      </c>
      <c r="I153" s="45">
        <f t="shared" si="12"/>
        <v>338.93</v>
      </c>
      <c r="K153" s="45">
        <v>0</v>
      </c>
      <c r="L153" s="135">
        <v>31.59</v>
      </c>
      <c r="M153" s="141">
        <f t="shared" si="13"/>
        <v>0</v>
      </c>
      <c r="N153" s="141">
        <f t="shared" si="14"/>
        <v>338.93</v>
      </c>
    </row>
    <row r="154" spans="1:14" x14ac:dyDescent="0.2">
      <c r="A154" s="32" t="s">
        <v>283</v>
      </c>
      <c r="B154" s="24" t="s">
        <v>24</v>
      </c>
      <c r="C154" s="37">
        <v>40902</v>
      </c>
      <c r="D154" s="62" t="s">
        <v>82</v>
      </c>
      <c r="E154" s="32" t="s">
        <v>43</v>
      </c>
      <c r="F154" s="47">
        <v>13.25</v>
      </c>
      <c r="G154" s="45">
        <f t="shared" si="10"/>
        <v>0</v>
      </c>
      <c r="H154" s="45">
        <f t="shared" si="11"/>
        <v>16.95</v>
      </c>
      <c r="I154" s="45">
        <f t="shared" si="12"/>
        <v>224.58</v>
      </c>
      <c r="K154" s="47">
        <v>0</v>
      </c>
      <c r="L154" s="138">
        <v>20.93</v>
      </c>
      <c r="M154" s="141">
        <f t="shared" si="13"/>
        <v>0</v>
      </c>
      <c r="N154" s="141">
        <f t="shared" si="14"/>
        <v>224.58</v>
      </c>
    </row>
    <row r="155" spans="1:14" x14ac:dyDescent="0.15">
      <c r="A155" s="30">
        <v>6</v>
      </c>
      <c r="B155" s="20"/>
      <c r="C155" s="33"/>
      <c r="D155" s="59" t="s">
        <v>11</v>
      </c>
      <c r="E155" s="38" t="s">
        <v>20</v>
      </c>
      <c r="F155" s="41"/>
      <c r="G155" s="41"/>
      <c r="H155" s="41"/>
      <c r="I155" s="126">
        <f>SUM(I156,I159)</f>
        <v>3889.5</v>
      </c>
      <c r="K155" s="41"/>
      <c r="L155" s="136"/>
      <c r="M155" s="141">
        <f t="shared" si="13"/>
        <v>0</v>
      </c>
      <c r="N155" s="141">
        <f t="shared" si="14"/>
        <v>0</v>
      </c>
    </row>
    <row r="156" spans="1:14" x14ac:dyDescent="0.15">
      <c r="A156" s="2" t="s">
        <v>285</v>
      </c>
      <c r="B156" s="18"/>
      <c r="C156" s="35"/>
      <c r="D156" s="58" t="s">
        <v>22</v>
      </c>
      <c r="E156" s="35"/>
      <c r="F156" s="43"/>
      <c r="G156" s="125"/>
      <c r="H156" s="125"/>
      <c r="I156" s="125">
        <f>I157</f>
        <v>3022.54</v>
      </c>
      <c r="K156" s="43"/>
      <c r="L156" s="134"/>
      <c r="M156" s="141">
        <f t="shared" si="13"/>
        <v>0</v>
      </c>
      <c r="N156" s="141">
        <f t="shared" si="14"/>
        <v>0</v>
      </c>
    </row>
    <row r="157" spans="1:14" ht="18" x14ac:dyDescent="0.15">
      <c r="A157" s="31" t="s">
        <v>286</v>
      </c>
      <c r="B157" s="22"/>
      <c r="C157" s="36"/>
      <c r="D157" s="60" t="s">
        <v>287</v>
      </c>
      <c r="E157" s="36"/>
      <c r="F157" s="46"/>
      <c r="G157" s="127"/>
      <c r="H157" s="127"/>
      <c r="I157" s="127">
        <f>I158</f>
        <v>3022.54</v>
      </c>
      <c r="K157" s="46"/>
      <c r="L157" s="137"/>
      <c r="M157" s="141">
        <f t="shared" si="13"/>
        <v>0</v>
      </c>
      <c r="N157" s="141">
        <f t="shared" si="14"/>
        <v>0</v>
      </c>
    </row>
    <row r="158" spans="1:14" ht="18" x14ac:dyDescent="0.2">
      <c r="A158" s="27" t="s">
        <v>288</v>
      </c>
      <c r="B158" s="19" t="s">
        <v>24</v>
      </c>
      <c r="C158" s="34">
        <v>20121</v>
      </c>
      <c r="D158" s="57" t="s">
        <v>45</v>
      </c>
      <c r="E158" s="27" t="s">
        <v>43</v>
      </c>
      <c r="F158" s="45">
        <v>24.92</v>
      </c>
      <c r="G158" s="45">
        <f t="shared" si="10"/>
        <v>0</v>
      </c>
      <c r="H158" s="45">
        <f t="shared" si="11"/>
        <v>121.29</v>
      </c>
      <c r="I158" s="45">
        <f t="shared" si="12"/>
        <v>3022.54</v>
      </c>
      <c r="K158" s="45">
        <v>0</v>
      </c>
      <c r="L158" s="135">
        <v>149.75</v>
      </c>
      <c r="M158" s="141">
        <f t="shared" si="13"/>
        <v>0</v>
      </c>
      <c r="N158" s="141">
        <f t="shared" si="14"/>
        <v>3022.54</v>
      </c>
    </row>
    <row r="159" spans="1:14" x14ac:dyDescent="0.15">
      <c r="A159" s="2" t="s">
        <v>289</v>
      </c>
      <c r="B159" s="18"/>
      <c r="C159" s="35"/>
      <c r="D159" s="63" t="s">
        <v>49</v>
      </c>
      <c r="E159" s="35"/>
      <c r="F159" s="125"/>
      <c r="G159" s="125"/>
      <c r="H159" s="125"/>
      <c r="I159" s="125">
        <f>I160</f>
        <v>866.96</v>
      </c>
      <c r="K159" s="128"/>
      <c r="L159" s="139"/>
      <c r="M159" s="141">
        <f t="shared" si="13"/>
        <v>0</v>
      </c>
      <c r="N159" s="141">
        <f t="shared" si="14"/>
        <v>0</v>
      </c>
    </row>
    <row r="160" spans="1:14" ht="18" x14ac:dyDescent="0.2">
      <c r="A160" s="27" t="s">
        <v>290</v>
      </c>
      <c r="B160" s="19" t="s">
        <v>24</v>
      </c>
      <c r="C160" s="55">
        <v>30101</v>
      </c>
      <c r="D160" s="64" t="s">
        <v>51</v>
      </c>
      <c r="E160" s="56" t="s">
        <v>43</v>
      </c>
      <c r="F160" s="47">
        <v>24.92</v>
      </c>
      <c r="G160" s="45">
        <f t="shared" si="10"/>
        <v>27.62</v>
      </c>
      <c r="H160" s="45">
        <f t="shared" si="11"/>
        <v>7.17</v>
      </c>
      <c r="I160" s="45">
        <f t="shared" si="12"/>
        <v>866.96</v>
      </c>
      <c r="K160" s="129">
        <v>34.11</v>
      </c>
      <c r="L160" s="140">
        <v>8.86</v>
      </c>
      <c r="M160" s="141">
        <f t="shared" si="13"/>
        <v>688.29</v>
      </c>
      <c r="N160" s="141">
        <f t="shared" si="14"/>
        <v>178.67</v>
      </c>
    </row>
    <row r="161" spans="4:14" ht="10.5" customHeight="1" x14ac:dyDescent="0.2">
      <c r="D161" s="52"/>
      <c r="E161" s="83" t="s">
        <v>296</v>
      </c>
      <c r="F161" s="84"/>
      <c r="G161" s="84"/>
      <c r="H161" s="84"/>
      <c r="I161" s="50">
        <f>SUM(I155,I139,I123,I30,I15,I6)</f>
        <v>429035.67</v>
      </c>
      <c r="K161" s="1"/>
      <c r="L161" s="1"/>
      <c r="M161" s="130">
        <f>SUM(M8:M160)</f>
        <v>344851.75000000012</v>
      </c>
      <c r="N161" s="130">
        <f>SUM(N8:N160)</f>
        <v>84183.84000000004</v>
      </c>
    </row>
    <row r="162" spans="4:14" ht="10.5" customHeight="1" x14ac:dyDescent="0.2">
      <c r="D162" s="52"/>
      <c r="E162" s="83" t="s">
        <v>295</v>
      </c>
      <c r="F162" s="84"/>
      <c r="G162" s="84"/>
      <c r="H162" s="84"/>
      <c r="I162" s="50">
        <f>I161*0.2141</f>
        <v>91856.536947000001</v>
      </c>
      <c r="K162" s="1"/>
      <c r="L162" s="1"/>
    </row>
    <row r="163" spans="4:14" ht="10.5" customHeight="1" x14ac:dyDescent="0.2">
      <c r="D163" s="52"/>
      <c r="E163" s="83" t="s">
        <v>294</v>
      </c>
      <c r="F163" s="84"/>
      <c r="G163" s="84"/>
      <c r="H163" s="84"/>
      <c r="I163" s="51">
        <f>I161+I162</f>
        <v>520892.206947</v>
      </c>
      <c r="K163" s="1"/>
      <c r="L163" s="1"/>
    </row>
    <row r="164" spans="4:14" ht="12.75" x14ac:dyDescent="0.2">
      <c r="E164" s="81" t="s">
        <v>297</v>
      </c>
      <c r="F164" s="82"/>
      <c r="G164" s="82"/>
      <c r="H164" s="82"/>
      <c r="I164" s="48">
        <f>I163/1740.88</f>
        <v>299.21201171074398</v>
      </c>
      <c r="K164" s="1"/>
      <c r="L164" s="1"/>
    </row>
    <row r="165" spans="4:14" ht="12.75" x14ac:dyDescent="0.2">
      <c r="E165" s="81" t="s">
        <v>298</v>
      </c>
      <c r="F165" s="82"/>
      <c r="G165" s="82"/>
      <c r="H165" s="82"/>
      <c r="I165" s="49">
        <f>M161</f>
        <v>344851.75000000012</v>
      </c>
      <c r="K165" s="1"/>
      <c r="L165" s="1"/>
    </row>
    <row r="166" spans="4:14" ht="12.75" x14ac:dyDescent="0.2">
      <c r="E166" s="81" t="s">
        <v>299</v>
      </c>
      <c r="F166" s="82"/>
      <c r="G166" s="82"/>
      <c r="H166" s="82"/>
      <c r="I166" s="49">
        <f>N161</f>
        <v>84183.84000000004</v>
      </c>
      <c r="K166" s="1"/>
      <c r="L166" s="1"/>
    </row>
    <row r="167" spans="4:14" x14ac:dyDescent="0.2">
      <c r="E167" s="53"/>
      <c r="F167" s="54"/>
      <c r="G167" s="54"/>
      <c r="H167" s="54"/>
      <c r="K167" s="54"/>
      <c r="L167" s="54"/>
    </row>
  </sheetData>
  <mergeCells count="20">
    <mergeCell ref="K6:L7"/>
    <mergeCell ref="M6:M7"/>
    <mergeCell ref="N6:N7"/>
    <mergeCell ref="A3:C3"/>
    <mergeCell ref="E3:G3"/>
    <mergeCell ref="H3:I3"/>
    <mergeCell ref="A4:C4"/>
    <mergeCell ref="E4:G4"/>
    <mergeCell ref="H4:I4"/>
    <mergeCell ref="A1:G1"/>
    <mergeCell ref="H1:I1"/>
    <mergeCell ref="A2:D2"/>
    <mergeCell ref="E2:G2"/>
    <mergeCell ref="H2:I2"/>
    <mergeCell ref="E166:H166"/>
    <mergeCell ref="E165:H165"/>
    <mergeCell ref="E164:H164"/>
    <mergeCell ref="E161:H161"/>
    <mergeCell ref="E162:H162"/>
    <mergeCell ref="E163:H163"/>
  </mergeCells>
  <pageMargins left="0.23622047244094491" right="0.23622047244094491" top="1.1417322834645669" bottom="0.74803149606299213" header="0.31496062992125984" footer="0.31496062992125984"/>
  <pageSetup paperSize="9" orientation="portrait" verticalDpi="0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24"/>
  <sheetViews>
    <sheetView view="pageBreakPreview" topLeftCell="A10" zoomScale="145" zoomScaleNormal="100" zoomScaleSheetLayoutView="145" workbookViewId="0">
      <selection activeCell="C11" sqref="C11"/>
    </sheetView>
  </sheetViews>
  <sheetFormatPr defaultRowHeight="9" x14ac:dyDescent="0.2"/>
  <cols>
    <col min="1" max="1" width="7.5" style="1" customWidth="1"/>
    <col min="2" max="2" width="52.6640625" style="1" customWidth="1"/>
    <col min="3" max="3" width="17.33203125" style="1" customWidth="1"/>
    <col min="4" max="4" width="18.1640625" style="1" customWidth="1"/>
    <col min="5" max="5" width="14.83203125" style="1" customWidth="1"/>
    <col min="6" max="16384" width="9.33203125" style="1"/>
  </cols>
  <sheetData>
    <row r="1" spans="1:5" s="109" customFormat="1" ht="18" customHeight="1" x14ac:dyDescent="0.2">
      <c r="A1" s="112" t="s">
        <v>374</v>
      </c>
      <c r="B1" s="107"/>
      <c r="C1" s="108"/>
      <c r="D1" s="112" t="s">
        <v>375</v>
      </c>
      <c r="E1" s="108"/>
    </row>
    <row r="2" spans="1:5" s="109" customFormat="1" ht="18.75" customHeight="1" x14ac:dyDescent="0.2">
      <c r="A2" s="106" t="s">
        <v>368</v>
      </c>
      <c r="B2" s="107"/>
      <c r="C2" s="108"/>
      <c r="D2" s="112" t="s">
        <v>386</v>
      </c>
      <c r="E2" s="108"/>
    </row>
    <row r="3" spans="1:5" s="109" customFormat="1" ht="18.75" customHeight="1" x14ac:dyDescent="0.2">
      <c r="A3" s="112" t="s">
        <v>384</v>
      </c>
      <c r="B3" s="107"/>
      <c r="C3" s="108"/>
      <c r="D3" s="106" t="s">
        <v>370</v>
      </c>
      <c r="E3" s="108"/>
    </row>
    <row r="4" spans="1:5" s="109" customFormat="1" ht="18" customHeight="1" x14ac:dyDescent="0.2">
      <c r="A4" s="112" t="s">
        <v>371</v>
      </c>
      <c r="B4" s="108"/>
      <c r="C4" s="111" t="s">
        <v>378</v>
      </c>
      <c r="D4" s="112" t="s">
        <v>379</v>
      </c>
      <c r="E4" s="108"/>
    </row>
    <row r="5" spans="1:5" x14ac:dyDescent="0.2">
      <c r="A5" s="87" t="s">
        <v>300</v>
      </c>
      <c r="B5" s="87"/>
      <c r="C5" s="87"/>
      <c r="D5" s="87"/>
      <c r="E5" s="87"/>
    </row>
    <row r="6" spans="1:5" ht="24.75" customHeight="1" x14ac:dyDescent="0.2">
      <c r="A6" s="65" t="s">
        <v>0</v>
      </c>
      <c r="B6" s="66" t="s">
        <v>1</v>
      </c>
      <c r="C6" s="67" t="s">
        <v>301</v>
      </c>
      <c r="D6" s="67" t="s">
        <v>302</v>
      </c>
      <c r="E6" s="68" t="s">
        <v>303</v>
      </c>
    </row>
    <row r="7" spans="1:5" ht="13.7" customHeight="1" x14ac:dyDescent="0.2">
      <c r="A7" s="26" t="s">
        <v>304</v>
      </c>
      <c r="B7" s="6" t="s">
        <v>22</v>
      </c>
      <c r="C7" s="8">
        <f>SUM('Planilha orçamentaria'!I7,'Planilha orçamentaria'!I16,'Planilha orçamentaria'!I31,'Planilha orçamentaria'!I156)</f>
        <v>9435.5999999999985</v>
      </c>
      <c r="D7" s="8">
        <f>C7*1.2141</f>
        <v>11455.761959999998</v>
      </c>
      <c r="E7" s="9">
        <v>2.2000000000000002</v>
      </c>
    </row>
    <row r="8" spans="1:5" ht="13.7" customHeight="1" x14ac:dyDescent="0.2">
      <c r="A8" s="26" t="s">
        <v>305</v>
      </c>
      <c r="B8" s="6" t="s">
        <v>49</v>
      </c>
      <c r="C8" s="8">
        <f>SUM('Planilha orçamentaria'!I20,'Planilha orçamentaria'!I33,'Planilha orçamentaria'!I159)</f>
        <v>1510.92</v>
      </c>
      <c r="D8" s="8">
        <f t="shared" ref="D8:D21" si="0">C8*1.2141</f>
        <v>1834.407972</v>
      </c>
      <c r="E8" s="9">
        <v>0.35</v>
      </c>
    </row>
    <row r="9" spans="1:5" ht="13.7" customHeight="1" x14ac:dyDescent="0.2">
      <c r="A9" s="26" t="s">
        <v>306</v>
      </c>
      <c r="B9" s="6" t="s">
        <v>74</v>
      </c>
      <c r="C9" s="8">
        <f>SUM('Planilha orçamentaria'!I35,'Planilha orçamentaria'!I124)</f>
        <v>3578.47</v>
      </c>
      <c r="D9" s="8">
        <f t="shared" si="0"/>
        <v>4344.6204269999998</v>
      </c>
      <c r="E9" s="9">
        <v>0.83</v>
      </c>
    </row>
    <row r="10" spans="1:5" ht="13.7" customHeight="1" x14ac:dyDescent="0.2">
      <c r="A10" s="26" t="s">
        <v>307</v>
      </c>
      <c r="B10" s="6" t="s">
        <v>89</v>
      </c>
      <c r="C10" s="8">
        <f>SUM('Planilha orçamentaria'!I43)</f>
        <v>30027.18</v>
      </c>
      <c r="D10" s="8">
        <f t="shared" si="0"/>
        <v>36455.999237999997</v>
      </c>
      <c r="E10" s="9">
        <v>7</v>
      </c>
    </row>
    <row r="11" spans="1:5" ht="13.7" customHeight="1" x14ac:dyDescent="0.2">
      <c r="A11" s="26" t="s">
        <v>308</v>
      </c>
      <c r="B11" s="6" t="s">
        <v>129</v>
      </c>
      <c r="C11" s="8">
        <f>SUM('Planilha orçamentaria'!I66)</f>
        <v>3256.21</v>
      </c>
      <c r="D11" s="8">
        <f t="shared" si="0"/>
        <v>3953.3645609999999</v>
      </c>
      <c r="E11" s="9">
        <v>0.76</v>
      </c>
    </row>
    <row r="12" spans="1:5" ht="13.7" customHeight="1" x14ac:dyDescent="0.2">
      <c r="A12" s="26" t="s">
        <v>309</v>
      </c>
      <c r="B12" s="6" t="s">
        <v>138</v>
      </c>
      <c r="C12" s="8">
        <f>SUM('Planilha orçamentaria'!I71,'Planilha orçamentaria'!I127)</f>
        <v>30781.83</v>
      </c>
      <c r="D12" s="8">
        <f t="shared" si="0"/>
        <v>37372.219803</v>
      </c>
      <c r="E12" s="9">
        <v>7.18</v>
      </c>
    </row>
    <row r="13" spans="1:5" ht="13.7" customHeight="1" x14ac:dyDescent="0.2">
      <c r="A13" s="26" t="s">
        <v>310</v>
      </c>
      <c r="B13" s="6" t="s">
        <v>257</v>
      </c>
      <c r="C13" s="8">
        <f>SUM('Planilha orçamentaria'!I139)</f>
        <v>22580.669999999995</v>
      </c>
      <c r="D13" s="8">
        <f t="shared" si="0"/>
        <v>27415.191446999994</v>
      </c>
      <c r="E13" s="9">
        <v>5.26</v>
      </c>
    </row>
    <row r="14" spans="1:5" ht="13.7" customHeight="1" x14ac:dyDescent="0.2">
      <c r="A14" s="26" t="s">
        <v>311</v>
      </c>
      <c r="B14" s="6" t="s">
        <v>53</v>
      </c>
      <c r="C14" s="8">
        <f>SUM('Planilha orçamentaria'!I22)</f>
        <v>1197</v>
      </c>
      <c r="D14" s="8">
        <f t="shared" si="0"/>
        <v>1453.2776999999999</v>
      </c>
      <c r="E14" s="9">
        <v>0.28000000000000003</v>
      </c>
    </row>
    <row r="15" spans="1:5" ht="13.7" customHeight="1" x14ac:dyDescent="0.2">
      <c r="A15" s="26" t="s">
        <v>312</v>
      </c>
      <c r="B15" s="6" t="s">
        <v>212</v>
      </c>
      <c r="C15" s="8">
        <f>SUM('Planilha orçamentaria'!I109)</f>
        <v>4166.01</v>
      </c>
      <c r="D15" s="8">
        <f t="shared" si="0"/>
        <v>5057.9527410000001</v>
      </c>
      <c r="E15" s="9">
        <v>0.97</v>
      </c>
    </row>
    <row r="16" spans="1:5" ht="13.7" customHeight="1" x14ac:dyDescent="0.2">
      <c r="A16" s="26" t="s">
        <v>313</v>
      </c>
      <c r="B16" s="6" t="s">
        <v>216</v>
      </c>
      <c r="C16" s="8">
        <f>SUM('Planilha orçamentaria'!I111)</f>
        <v>192006.09</v>
      </c>
      <c r="D16" s="8">
        <f t="shared" si="0"/>
        <v>233114.59386899997</v>
      </c>
      <c r="E16" s="9">
        <v>44.76</v>
      </c>
    </row>
    <row r="17" spans="1:5" ht="13.7" customHeight="1" x14ac:dyDescent="0.2">
      <c r="A17" s="26" t="s">
        <v>314</v>
      </c>
      <c r="B17" s="6" t="s">
        <v>220</v>
      </c>
      <c r="C17" s="8">
        <f>SUM('Planilha orçamentaria'!I113)</f>
        <v>83064.710000000006</v>
      </c>
      <c r="D17" s="8">
        <f t="shared" si="0"/>
        <v>100848.864411</v>
      </c>
      <c r="E17" s="9">
        <v>19.36</v>
      </c>
    </row>
    <row r="18" spans="1:5" ht="13.7" customHeight="1" x14ac:dyDescent="0.2">
      <c r="A18" s="26" t="s">
        <v>315</v>
      </c>
      <c r="B18" s="6" t="s">
        <v>57</v>
      </c>
      <c r="C18" s="8">
        <f>SUM('Planilha orçamentaria'!I24)</f>
        <v>996.59999999999991</v>
      </c>
      <c r="D18" s="8">
        <f t="shared" si="0"/>
        <v>1209.9720599999998</v>
      </c>
      <c r="E18" s="9">
        <v>0.23</v>
      </c>
    </row>
    <row r="19" spans="1:5" ht="13.7" customHeight="1" x14ac:dyDescent="0.2">
      <c r="A19" s="26" t="s">
        <v>316</v>
      </c>
      <c r="B19" s="6" t="s">
        <v>28</v>
      </c>
      <c r="C19" s="8">
        <f>SUM('Planilha orçamentaria'!I9)</f>
        <v>24373.360000000001</v>
      </c>
      <c r="D19" s="8">
        <f t="shared" si="0"/>
        <v>29591.696376</v>
      </c>
      <c r="E19" s="9">
        <v>5.68</v>
      </c>
    </row>
    <row r="20" spans="1:5" ht="13.7" customHeight="1" x14ac:dyDescent="0.2">
      <c r="A20" s="26" t="s">
        <v>317</v>
      </c>
      <c r="B20" s="6" t="s">
        <v>63</v>
      </c>
      <c r="C20" s="8">
        <f>SUM('Planilha orçamentaria'!I27,'Planilha orçamentaria'!I117)</f>
        <v>19211.940000000002</v>
      </c>
      <c r="D20" s="8">
        <f t="shared" si="0"/>
        <v>23325.216354000004</v>
      </c>
      <c r="E20" s="9">
        <v>4.4800000000000004</v>
      </c>
    </row>
    <row r="21" spans="1:5" ht="13.7" customHeight="1" x14ac:dyDescent="0.2">
      <c r="A21" s="26" t="s">
        <v>318</v>
      </c>
      <c r="B21" s="6" t="s">
        <v>35</v>
      </c>
      <c r="C21" s="8">
        <f>SUM('Planilha orçamentaria'!I12,'Planilha orçamentaria'!I120)</f>
        <v>2849.08</v>
      </c>
      <c r="D21" s="8">
        <f t="shared" si="0"/>
        <v>3459.0680279999997</v>
      </c>
      <c r="E21" s="9">
        <v>0.66</v>
      </c>
    </row>
    <row r="22" spans="1:5" x14ac:dyDescent="0.2">
      <c r="A22" s="85" t="s">
        <v>319</v>
      </c>
      <c r="B22" s="86"/>
      <c r="C22" s="11">
        <f>SUM(C7:C21)</f>
        <v>429035.67</v>
      </c>
      <c r="D22" s="11">
        <f>SUM(D7:D21)</f>
        <v>520892.20694699994</v>
      </c>
      <c r="E22" s="12">
        <v>100</v>
      </c>
    </row>
    <row r="24" spans="1:5" ht="12.75" x14ac:dyDescent="0.2">
      <c r="A24" s="88" t="s">
        <v>320</v>
      </c>
      <c r="B24" s="89"/>
      <c r="C24" s="89"/>
      <c r="D24" s="89"/>
      <c r="E24" s="89"/>
    </row>
  </sheetData>
  <mergeCells count="11">
    <mergeCell ref="A22:B22"/>
    <mergeCell ref="A5:E5"/>
    <mergeCell ref="A24:E24"/>
    <mergeCell ref="A1:C1"/>
    <mergeCell ref="D1:E1"/>
    <mergeCell ref="A2:C2"/>
    <mergeCell ref="D2:E2"/>
    <mergeCell ref="A3:C3"/>
    <mergeCell ref="D3:E3"/>
    <mergeCell ref="A4:B4"/>
    <mergeCell ref="D4:E4"/>
  </mergeCells>
  <pageMargins left="0.25" right="0.25" top="1.1145833333333333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0"/>
  <sheetViews>
    <sheetView view="pageBreakPreview" zoomScale="130" zoomScaleNormal="100" zoomScaleSheetLayoutView="130" workbookViewId="0">
      <selection activeCell="A37" sqref="A37:A40"/>
    </sheetView>
  </sheetViews>
  <sheetFormatPr defaultRowHeight="9" x14ac:dyDescent="0.2"/>
  <cols>
    <col min="1" max="1" width="32.5" style="150" customWidth="1"/>
    <col min="2" max="2" width="4" style="150" customWidth="1"/>
    <col min="3" max="3" width="12.1640625" style="150" customWidth="1"/>
    <col min="4" max="4" width="16.33203125" style="150" customWidth="1"/>
    <col min="5" max="5" width="4" style="150" bestFit="1" customWidth="1"/>
    <col min="6" max="6" width="8.83203125" style="150" customWidth="1"/>
    <col min="7" max="7" width="4" style="150" bestFit="1" customWidth="1"/>
    <col min="8" max="8" width="11.5" style="150" customWidth="1"/>
    <col min="9" max="9" width="5.1640625" style="150" customWidth="1"/>
    <col min="10" max="10" width="10.83203125" style="150" customWidth="1"/>
    <col min="11" max="16384" width="9.33203125" style="150"/>
  </cols>
  <sheetData>
    <row r="1" spans="1:10" s="146" customFormat="1" ht="18.600000000000001" customHeight="1" x14ac:dyDescent="0.2">
      <c r="A1" s="142" t="s">
        <v>393</v>
      </c>
      <c r="B1" s="143"/>
      <c r="C1" s="143"/>
      <c r="D1" s="144" t="s">
        <v>387</v>
      </c>
      <c r="E1" s="145"/>
      <c r="F1" s="145"/>
      <c r="G1" s="145"/>
      <c r="H1" s="145"/>
      <c r="I1" s="145"/>
      <c r="J1" s="145"/>
    </row>
    <row r="2" spans="1:10" s="146" customFormat="1" ht="18.600000000000001" customHeight="1" x14ac:dyDescent="0.2">
      <c r="A2" s="142" t="s">
        <v>394</v>
      </c>
      <c r="B2" s="143"/>
      <c r="C2" s="143"/>
      <c r="D2" s="147" t="s">
        <v>395</v>
      </c>
      <c r="E2" s="145"/>
      <c r="F2" s="145"/>
      <c r="G2" s="145"/>
      <c r="H2" s="145"/>
      <c r="I2" s="145"/>
      <c r="J2" s="145"/>
    </row>
    <row r="3" spans="1:10" s="146" customFormat="1" ht="18.600000000000001" customHeight="1" x14ac:dyDescent="0.2">
      <c r="A3" s="148" t="s">
        <v>396</v>
      </c>
      <c r="B3" s="143"/>
      <c r="C3" s="143"/>
      <c r="D3" s="147" t="s">
        <v>397</v>
      </c>
      <c r="E3" s="145"/>
      <c r="F3" s="145"/>
      <c r="G3" s="145"/>
      <c r="H3" s="145"/>
      <c r="I3" s="145"/>
      <c r="J3" s="145"/>
    </row>
    <row r="4" spans="1:10" x14ac:dyDescent="0.2">
      <c r="A4" s="149" t="s">
        <v>321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12.95" customHeight="1" x14ac:dyDescent="0.2">
      <c r="A5" s="151" t="s">
        <v>1</v>
      </c>
      <c r="B5" s="152" t="s">
        <v>392</v>
      </c>
      <c r="C5" s="153"/>
      <c r="D5" s="154" t="s">
        <v>323</v>
      </c>
      <c r="E5" s="155">
        <v>1</v>
      </c>
      <c r="F5" s="156"/>
      <c r="G5" s="155">
        <v>2</v>
      </c>
      <c r="H5" s="156"/>
      <c r="I5" s="155">
        <v>3</v>
      </c>
      <c r="J5" s="156"/>
    </row>
    <row r="6" spans="1:10" ht="11.1" customHeight="1" x14ac:dyDescent="0.2">
      <c r="A6" s="157"/>
      <c r="B6" s="185">
        <f>SUM(B7:C36)</f>
        <v>520892.20694699994</v>
      </c>
      <c r="C6" s="186"/>
      <c r="D6" s="154" t="s">
        <v>324</v>
      </c>
      <c r="E6" s="158">
        <v>30</v>
      </c>
      <c r="F6" s="159"/>
      <c r="G6" s="158">
        <v>60</v>
      </c>
      <c r="H6" s="159"/>
      <c r="I6" s="158">
        <v>90</v>
      </c>
      <c r="J6" s="159"/>
    </row>
    <row r="7" spans="1:10" ht="11.45" customHeight="1" x14ac:dyDescent="0.15">
      <c r="A7" s="160" t="s">
        <v>22</v>
      </c>
      <c r="B7" s="184">
        <f>Somatorio!D7</f>
        <v>11455.761959999998</v>
      </c>
      <c r="C7" s="181"/>
      <c r="D7" s="161" t="s">
        <v>325</v>
      </c>
      <c r="E7" s="162">
        <v>1</v>
      </c>
      <c r="F7" s="163"/>
      <c r="G7" s="164"/>
      <c r="H7" s="165"/>
      <c r="I7" s="164"/>
      <c r="J7" s="165"/>
    </row>
    <row r="8" spans="1:10" ht="11.25" customHeight="1" x14ac:dyDescent="0.2">
      <c r="A8" s="166"/>
      <c r="B8" s="182"/>
      <c r="C8" s="183"/>
      <c r="D8" s="167"/>
      <c r="E8" s="179">
        <f>B7*E7</f>
        <v>11455.761959999998</v>
      </c>
      <c r="F8" s="180"/>
      <c r="G8" s="168" t="s">
        <v>322</v>
      </c>
      <c r="H8" s="169" t="s">
        <v>398</v>
      </c>
      <c r="I8" s="168" t="s">
        <v>322</v>
      </c>
      <c r="J8" s="169" t="s">
        <v>398</v>
      </c>
    </row>
    <row r="9" spans="1:10" ht="11.45" customHeight="1" x14ac:dyDescent="0.2">
      <c r="A9" s="160" t="s">
        <v>49</v>
      </c>
      <c r="B9" s="184">
        <f>Somatorio!D8</f>
        <v>1834.407972</v>
      </c>
      <c r="C9" s="181"/>
      <c r="D9" s="161" t="s">
        <v>325</v>
      </c>
      <c r="E9" s="170">
        <v>0.37</v>
      </c>
      <c r="F9" s="171"/>
      <c r="G9" s="170">
        <v>0.3</v>
      </c>
      <c r="H9" s="171"/>
      <c r="I9" s="170">
        <v>0.33</v>
      </c>
      <c r="J9" s="171"/>
    </row>
    <row r="10" spans="1:10" ht="11.25" customHeight="1" x14ac:dyDescent="0.2">
      <c r="A10" s="166"/>
      <c r="B10" s="182"/>
      <c r="C10" s="183"/>
      <c r="D10" s="167"/>
      <c r="E10" s="179">
        <f>B9*E9</f>
        <v>678.73094963999995</v>
      </c>
      <c r="F10" s="180"/>
      <c r="G10" s="179">
        <f>B9*G9</f>
        <v>550.32239159999995</v>
      </c>
      <c r="H10" s="180"/>
      <c r="I10" s="179">
        <f>B9*I9</f>
        <v>605.35463075999996</v>
      </c>
      <c r="J10" s="180"/>
    </row>
    <row r="11" spans="1:10" ht="11.45" customHeight="1" x14ac:dyDescent="0.15">
      <c r="A11" s="160" t="s">
        <v>74</v>
      </c>
      <c r="B11" s="184">
        <f>Somatorio!D9</f>
        <v>4344.6204269999998</v>
      </c>
      <c r="C11" s="181"/>
      <c r="D11" s="161" t="s">
        <v>325</v>
      </c>
      <c r="E11" s="162">
        <v>1</v>
      </c>
      <c r="F11" s="163"/>
      <c r="G11" s="164"/>
      <c r="H11" s="165"/>
      <c r="I11" s="164"/>
      <c r="J11" s="165"/>
    </row>
    <row r="12" spans="1:10" ht="11.25" customHeight="1" x14ac:dyDescent="0.2">
      <c r="A12" s="166"/>
      <c r="B12" s="182"/>
      <c r="C12" s="183"/>
      <c r="D12" s="167"/>
      <c r="E12" s="179">
        <f>B11*E11</f>
        <v>4344.6204269999998</v>
      </c>
      <c r="F12" s="180"/>
      <c r="G12" s="168" t="s">
        <v>322</v>
      </c>
      <c r="H12" s="169" t="s">
        <v>398</v>
      </c>
      <c r="I12" s="168" t="s">
        <v>322</v>
      </c>
      <c r="J12" s="169" t="s">
        <v>398</v>
      </c>
    </row>
    <row r="13" spans="1:10" ht="11.45" customHeight="1" x14ac:dyDescent="0.15">
      <c r="A13" s="160" t="s">
        <v>89</v>
      </c>
      <c r="B13" s="184">
        <f>Somatorio!D10</f>
        <v>36455.999237999997</v>
      </c>
      <c r="C13" s="181"/>
      <c r="D13" s="161" t="s">
        <v>325</v>
      </c>
      <c r="E13" s="162">
        <v>1</v>
      </c>
      <c r="F13" s="163"/>
      <c r="G13" s="164"/>
      <c r="H13" s="165"/>
      <c r="I13" s="164"/>
      <c r="J13" s="165"/>
    </row>
    <row r="14" spans="1:10" ht="11.25" customHeight="1" x14ac:dyDescent="0.2">
      <c r="A14" s="166"/>
      <c r="B14" s="182"/>
      <c r="C14" s="183"/>
      <c r="D14" s="167"/>
      <c r="E14" s="179">
        <f>B13*E13</f>
        <v>36455.999237999997</v>
      </c>
      <c r="F14" s="180"/>
      <c r="G14" s="168" t="s">
        <v>322</v>
      </c>
      <c r="H14" s="169" t="s">
        <v>398</v>
      </c>
      <c r="I14" s="168" t="s">
        <v>322</v>
      </c>
      <c r="J14" s="169" t="s">
        <v>398</v>
      </c>
    </row>
    <row r="15" spans="1:10" ht="11.45" customHeight="1" x14ac:dyDescent="0.15">
      <c r="A15" s="160" t="s">
        <v>129</v>
      </c>
      <c r="B15" s="184">
        <f>Somatorio!D11</f>
        <v>3953.3645609999999</v>
      </c>
      <c r="C15" s="181"/>
      <c r="D15" s="161" t="s">
        <v>325</v>
      </c>
      <c r="E15" s="170">
        <v>0.54</v>
      </c>
      <c r="F15" s="171"/>
      <c r="G15" s="170">
        <v>0.46</v>
      </c>
      <c r="H15" s="171"/>
      <c r="I15" s="164"/>
      <c r="J15" s="165"/>
    </row>
    <row r="16" spans="1:10" ht="11.25" customHeight="1" x14ac:dyDescent="0.2">
      <c r="A16" s="166"/>
      <c r="B16" s="182"/>
      <c r="C16" s="183"/>
      <c r="D16" s="167"/>
      <c r="E16" s="179">
        <f>B15*E15</f>
        <v>2134.8168629400002</v>
      </c>
      <c r="F16" s="180"/>
      <c r="G16" s="179">
        <f>B15*G15</f>
        <v>1818.5476980600001</v>
      </c>
      <c r="H16" s="180"/>
      <c r="I16" s="168" t="s">
        <v>322</v>
      </c>
      <c r="J16" s="169" t="s">
        <v>398</v>
      </c>
    </row>
    <row r="17" spans="1:10" ht="11.45" customHeight="1" x14ac:dyDescent="0.15">
      <c r="A17" s="160" t="s">
        <v>326</v>
      </c>
      <c r="B17" s="184">
        <f>Somatorio!D12</f>
        <v>37372.219803</v>
      </c>
      <c r="C17" s="181"/>
      <c r="D17" s="161" t="s">
        <v>325</v>
      </c>
      <c r="E17" s="170">
        <v>0.3</v>
      </c>
      <c r="F17" s="171"/>
      <c r="G17" s="170">
        <v>0.7</v>
      </c>
      <c r="H17" s="171"/>
      <c r="I17" s="164"/>
      <c r="J17" s="165"/>
    </row>
    <row r="18" spans="1:10" ht="11.25" customHeight="1" x14ac:dyDescent="0.2">
      <c r="A18" s="166"/>
      <c r="B18" s="182"/>
      <c r="C18" s="183"/>
      <c r="D18" s="167"/>
      <c r="E18" s="179">
        <f>B17*E17</f>
        <v>11211.6659409</v>
      </c>
      <c r="F18" s="180"/>
      <c r="G18" s="179">
        <f>B17*G17</f>
        <v>26160.553862099998</v>
      </c>
      <c r="H18" s="180"/>
      <c r="I18" s="168" t="s">
        <v>322</v>
      </c>
      <c r="J18" s="169" t="s">
        <v>398</v>
      </c>
    </row>
    <row r="19" spans="1:10" ht="11.45" customHeight="1" x14ac:dyDescent="0.15">
      <c r="A19" s="160" t="s">
        <v>257</v>
      </c>
      <c r="B19" s="184">
        <f>Somatorio!D13</f>
        <v>27415.191446999994</v>
      </c>
      <c r="C19" s="181"/>
      <c r="D19" s="161" t="s">
        <v>325</v>
      </c>
      <c r="E19" s="170">
        <v>0.3</v>
      </c>
      <c r="F19" s="171"/>
      <c r="G19" s="170">
        <v>0.7</v>
      </c>
      <c r="H19" s="171"/>
      <c r="I19" s="164"/>
      <c r="J19" s="165"/>
    </row>
    <row r="20" spans="1:10" ht="11.25" customHeight="1" x14ac:dyDescent="0.2">
      <c r="A20" s="166"/>
      <c r="B20" s="182"/>
      <c r="C20" s="183"/>
      <c r="D20" s="167"/>
      <c r="E20" s="179">
        <f>B19*E19</f>
        <v>8224.5574340999974</v>
      </c>
      <c r="F20" s="180"/>
      <c r="G20" s="179">
        <f>B19*G19</f>
        <v>19190.634012899995</v>
      </c>
      <c r="H20" s="180"/>
      <c r="I20" s="168" t="s">
        <v>322</v>
      </c>
      <c r="J20" s="169" t="s">
        <v>398</v>
      </c>
    </row>
    <row r="21" spans="1:10" ht="11.45" customHeight="1" x14ac:dyDescent="0.15">
      <c r="A21" s="160" t="s">
        <v>327</v>
      </c>
      <c r="B21" s="184">
        <f>Somatorio!D14</f>
        <v>1453.2776999999999</v>
      </c>
      <c r="C21" s="181"/>
      <c r="D21" s="161" t="s">
        <v>325</v>
      </c>
      <c r="E21" s="170">
        <v>0.3</v>
      </c>
      <c r="F21" s="171"/>
      <c r="G21" s="170">
        <v>0.7</v>
      </c>
      <c r="H21" s="171"/>
      <c r="I21" s="164"/>
      <c r="J21" s="165"/>
    </row>
    <row r="22" spans="1:10" ht="11.25" customHeight="1" x14ac:dyDescent="0.2">
      <c r="A22" s="166"/>
      <c r="B22" s="182"/>
      <c r="C22" s="183"/>
      <c r="D22" s="167"/>
      <c r="E22" s="179">
        <f>B21*E21</f>
        <v>435.98330999999996</v>
      </c>
      <c r="F22" s="180"/>
      <c r="G22" s="179">
        <f>B21*G21</f>
        <v>1017.2943899999998</v>
      </c>
      <c r="H22" s="180"/>
      <c r="I22" s="168" t="s">
        <v>322</v>
      </c>
      <c r="J22" s="169" t="s">
        <v>398</v>
      </c>
    </row>
    <row r="23" spans="1:10" ht="11.45" customHeight="1" x14ac:dyDescent="0.15">
      <c r="A23" s="160" t="s">
        <v>212</v>
      </c>
      <c r="B23" s="184">
        <f>Somatorio!D15</f>
        <v>5057.9527410000001</v>
      </c>
      <c r="C23" s="181"/>
      <c r="D23" s="161" t="s">
        <v>325</v>
      </c>
      <c r="E23" s="170">
        <v>0.85</v>
      </c>
      <c r="F23" s="171"/>
      <c r="G23" s="170">
        <v>0.15</v>
      </c>
      <c r="H23" s="171"/>
      <c r="I23" s="164"/>
      <c r="J23" s="165"/>
    </row>
    <row r="24" spans="1:10" ht="11.25" customHeight="1" x14ac:dyDescent="0.2">
      <c r="A24" s="166"/>
      <c r="B24" s="182"/>
      <c r="C24" s="183"/>
      <c r="D24" s="167"/>
      <c r="E24" s="179">
        <f>B23*E23</f>
        <v>4299.2598298499997</v>
      </c>
      <c r="F24" s="180"/>
      <c r="G24" s="179">
        <f>B23*G23</f>
        <v>758.69291114999999</v>
      </c>
      <c r="H24" s="180"/>
      <c r="I24" s="168" t="s">
        <v>322</v>
      </c>
      <c r="J24" s="169" t="s">
        <v>398</v>
      </c>
    </row>
    <row r="25" spans="1:10" ht="11.45" customHeight="1" x14ac:dyDescent="0.15">
      <c r="A25" s="160" t="s">
        <v>328</v>
      </c>
      <c r="B25" s="184">
        <f>Somatorio!D16</f>
        <v>233114.59386899997</v>
      </c>
      <c r="C25" s="181"/>
      <c r="D25" s="161" t="s">
        <v>325</v>
      </c>
      <c r="E25" s="164"/>
      <c r="F25" s="165"/>
      <c r="G25" s="170">
        <v>0.57999999999999996</v>
      </c>
      <c r="H25" s="171"/>
      <c r="I25" s="170">
        <v>0.42</v>
      </c>
      <c r="J25" s="171"/>
    </row>
    <row r="26" spans="1:10" ht="11.25" customHeight="1" x14ac:dyDescent="0.2">
      <c r="A26" s="166"/>
      <c r="B26" s="182"/>
      <c r="C26" s="183"/>
      <c r="D26" s="167"/>
      <c r="E26" s="168" t="s">
        <v>322</v>
      </c>
      <c r="F26" s="172" t="s">
        <v>398</v>
      </c>
      <c r="G26" s="179">
        <f>B25*G25</f>
        <v>135206.46444401998</v>
      </c>
      <c r="H26" s="180"/>
      <c r="I26" s="179">
        <f>B25*I25</f>
        <v>97908.129424979983</v>
      </c>
      <c r="J26" s="180"/>
    </row>
    <row r="27" spans="1:10" ht="11.45" customHeight="1" x14ac:dyDescent="0.15">
      <c r="A27" s="160" t="s">
        <v>220</v>
      </c>
      <c r="B27" s="184">
        <f>Somatorio!D17</f>
        <v>100848.864411</v>
      </c>
      <c r="C27" s="181"/>
      <c r="D27" s="161" t="s">
        <v>325</v>
      </c>
      <c r="E27" s="164"/>
      <c r="F27" s="165"/>
      <c r="G27" s="164"/>
      <c r="H27" s="165"/>
      <c r="I27" s="162">
        <v>1</v>
      </c>
      <c r="J27" s="163"/>
    </row>
    <row r="28" spans="1:10" ht="11.25" customHeight="1" x14ac:dyDescent="0.2">
      <c r="A28" s="166"/>
      <c r="B28" s="182"/>
      <c r="C28" s="183"/>
      <c r="D28" s="167"/>
      <c r="E28" s="168" t="s">
        <v>322</v>
      </c>
      <c r="F28" s="172" t="s">
        <v>398</v>
      </c>
      <c r="G28" s="168" t="s">
        <v>322</v>
      </c>
      <c r="H28" s="169" t="s">
        <v>398</v>
      </c>
      <c r="I28" s="179">
        <f>B27*I27</f>
        <v>100848.864411</v>
      </c>
      <c r="J28" s="180"/>
    </row>
    <row r="29" spans="1:10" ht="11.45" customHeight="1" x14ac:dyDescent="0.15">
      <c r="A29" s="160" t="s">
        <v>57</v>
      </c>
      <c r="B29" s="184">
        <f>Somatorio!D18</f>
        <v>1209.9720599999998</v>
      </c>
      <c r="C29" s="181"/>
      <c r="D29" s="161" t="s">
        <v>325</v>
      </c>
      <c r="E29" s="164"/>
      <c r="F29" s="165"/>
      <c r="G29" s="170">
        <v>0.4</v>
      </c>
      <c r="H29" s="171"/>
      <c r="I29" s="170">
        <v>0.6</v>
      </c>
      <c r="J29" s="171"/>
    </row>
    <row r="30" spans="1:10" ht="11.25" customHeight="1" x14ac:dyDescent="0.2">
      <c r="A30" s="166"/>
      <c r="B30" s="182"/>
      <c r="C30" s="183"/>
      <c r="D30" s="167"/>
      <c r="E30" s="168" t="s">
        <v>322</v>
      </c>
      <c r="F30" s="172" t="s">
        <v>398</v>
      </c>
      <c r="G30" s="179">
        <f>B29*G29</f>
        <v>483.98882399999997</v>
      </c>
      <c r="H30" s="180"/>
      <c r="I30" s="179">
        <f>B29*I29</f>
        <v>725.98323599999992</v>
      </c>
      <c r="J30" s="180"/>
    </row>
    <row r="31" spans="1:10" ht="11.45" customHeight="1" x14ac:dyDescent="0.2">
      <c r="A31" s="160" t="s">
        <v>329</v>
      </c>
      <c r="B31" s="184">
        <f>Somatorio!D19</f>
        <v>29591.696376</v>
      </c>
      <c r="C31" s="181"/>
      <c r="D31" s="161" t="s">
        <v>325</v>
      </c>
      <c r="E31" s="170">
        <v>0.34</v>
      </c>
      <c r="F31" s="171"/>
      <c r="G31" s="170">
        <v>0.33</v>
      </c>
      <c r="H31" s="171"/>
      <c r="I31" s="170">
        <v>0.33</v>
      </c>
      <c r="J31" s="171"/>
    </row>
    <row r="32" spans="1:10" ht="11.25" customHeight="1" x14ac:dyDescent="0.2">
      <c r="A32" s="166"/>
      <c r="B32" s="182"/>
      <c r="C32" s="183"/>
      <c r="D32" s="167"/>
      <c r="E32" s="179">
        <f>B31*E31</f>
        <v>10061.176767840001</v>
      </c>
      <c r="F32" s="180"/>
      <c r="G32" s="179">
        <f>B31*G31</f>
        <v>9765.2598040800003</v>
      </c>
      <c r="H32" s="180"/>
      <c r="I32" s="179">
        <f>B31*I31</f>
        <v>9765.2598040800003</v>
      </c>
      <c r="J32" s="180"/>
    </row>
    <row r="33" spans="1:10" ht="11.45" customHeight="1" x14ac:dyDescent="0.15">
      <c r="A33" s="160" t="s">
        <v>63</v>
      </c>
      <c r="B33" s="184">
        <f>Somatorio!D20</f>
        <v>23325.216354000004</v>
      </c>
      <c r="C33" s="181"/>
      <c r="D33" s="161" t="s">
        <v>325</v>
      </c>
      <c r="E33" s="164"/>
      <c r="F33" s="165"/>
      <c r="G33" s="164"/>
      <c r="H33" s="165"/>
      <c r="I33" s="162">
        <v>1</v>
      </c>
      <c r="J33" s="163"/>
    </row>
    <row r="34" spans="1:10" ht="11.25" customHeight="1" x14ac:dyDescent="0.2">
      <c r="A34" s="166"/>
      <c r="B34" s="182"/>
      <c r="C34" s="183"/>
      <c r="D34" s="167"/>
      <c r="E34" s="168" t="s">
        <v>322</v>
      </c>
      <c r="F34" s="172" t="s">
        <v>398</v>
      </c>
      <c r="G34" s="168" t="s">
        <v>322</v>
      </c>
      <c r="H34" s="169" t="s">
        <v>398</v>
      </c>
      <c r="I34" s="179">
        <f>B33*I33</f>
        <v>23325.216354000004</v>
      </c>
      <c r="J34" s="180"/>
    </row>
    <row r="35" spans="1:10" ht="11.45" customHeight="1" x14ac:dyDescent="0.15">
      <c r="A35" s="160" t="s">
        <v>35</v>
      </c>
      <c r="B35" s="184">
        <f>Somatorio!D21</f>
        <v>3459.0680279999997</v>
      </c>
      <c r="C35" s="181"/>
      <c r="D35" s="161" t="s">
        <v>325</v>
      </c>
      <c r="E35" s="164"/>
      <c r="F35" s="165"/>
      <c r="G35" s="164"/>
      <c r="H35" s="165"/>
      <c r="I35" s="162">
        <v>1</v>
      </c>
      <c r="J35" s="163"/>
    </row>
    <row r="36" spans="1:10" ht="11.25" customHeight="1" x14ac:dyDescent="0.2">
      <c r="A36" s="191"/>
      <c r="B36" s="192"/>
      <c r="C36" s="193"/>
      <c r="D36" s="167"/>
      <c r="E36" s="168" t="s">
        <v>322</v>
      </c>
      <c r="F36" s="172" t="s">
        <v>398</v>
      </c>
      <c r="G36" s="168" t="s">
        <v>322</v>
      </c>
      <c r="H36" s="169" t="s">
        <v>398</v>
      </c>
      <c r="I36" s="179">
        <f>B35*I35</f>
        <v>3459.0680279999997</v>
      </c>
      <c r="J36" s="180"/>
    </row>
    <row r="37" spans="1:10" ht="14.25" customHeight="1" x14ac:dyDescent="0.2">
      <c r="A37" s="194" t="s">
        <v>330</v>
      </c>
      <c r="B37" s="195">
        <f>SUM(B7:C36)</f>
        <v>520892.20694699994</v>
      </c>
      <c r="C37" s="196"/>
      <c r="D37" s="190" t="s">
        <v>331</v>
      </c>
      <c r="E37" s="173">
        <v>0.17150000000000001</v>
      </c>
      <c r="F37" s="174"/>
      <c r="G37" s="173">
        <v>0.37440000000000001</v>
      </c>
      <c r="H37" s="174"/>
      <c r="I37" s="173">
        <v>0.4541</v>
      </c>
      <c r="J37" s="174"/>
    </row>
    <row r="38" spans="1:10" ht="12" customHeight="1" x14ac:dyDescent="0.2">
      <c r="A38" s="197"/>
      <c r="B38" s="196"/>
      <c r="C38" s="196"/>
      <c r="D38" s="190" t="s">
        <v>332</v>
      </c>
      <c r="E38" s="187">
        <f>SUM(E32,E24,E22,E20,E18,E16,E14,E12,E10,E8)</f>
        <v>89302.572720269993</v>
      </c>
      <c r="F38" s="188"/>
      <c r="G38" s="187">
        <f>SUM(G32,G30,G26,G24,G22,G20,G18,G16,G10)</f>
        <v>194951.75833790997</v>
      </c>
      <c r="H38" s="188"/>
      <c r="I38" s="187">
        <f>SUM(I36,I34,I32,I30,I28,I26,I10)</f>
        <v>236637.87588882001</v>
      </c>
      <c r="J38" s="188"/>
    </row>
    <row r="39" spans="1:10" ht="13.7" customHeight="1" x14ac:dyDescent="0.2">
      <c r="A39" s="197"/>
      <c r="B39" s="196"/>
      <c r="C39" s="196"/>
      <c r="D39" s="190" t="s">
        <v>333</v>
      </c>
      <c r="E39" s="175">
        <v>0.17150000000000001</v>
      </c>
      <c r="F39" s="176"/>
      <c r="G39" s="175">
        <v>0.54590000000000005</v>
      </c>
      <c r="H39" s="176"/>
      <c r="I39" s="177">
        <v>1</v>
      </c>
      <c r="J39" s="178"/>
    </row>
    <row r="40" spans="1:10" ht="12.95" customHeight="1" x14ac:dyDescent="0.2">
      <c r="A40" s="197"/>
      <c r="B40" s="196"/>
      <c r="C40" s="196"/>
      <c r="D40" s="190" t="s">
        <v>334</v>
      </c>
      <c r="E40" s="189">
        <f>E38</f>
        <v>89302.572720269993</v>
      </c>
      <c r="F40" s="188"/>
      <c r="G40" s="189">
        <f>E40+G38</f>
        <v>284254.33105817996</v>
      </c>
      <c r="H40" s="188"/>
      <c r="I40" s="189">
        <f>G40+I38</f>
        <v>520892.206947</v>
      </c>
      <c r="J40" s="188"/>
    </row>
  </sheetData>
  <mergeCells count="146">
    <mergeCell ref="G32:H32"/>
    <mergeCell ref="I32:J32"/>
    <mergeCell ref="I34:J34"/>
    <mergeCell ref="I36:J36"/>
    <mergeCell ref="A37:A40"/>
    <mergeCell ref="B37:C40"/>
    <mergeCell ref="G22:H22"/>
    <mergeCell ref="E38:F38"/>
    <mergeCell ref="G38:H38"/>
    <mergeCell ref="I38:J38"/>
    <mergeCell ref="E40:F40"/>
    <mergeCell ref="G40:H40"/>
    <mergeCell ref="I40:J40"/>
    <mergeCell ref="B35:C36"/>
    <mergeCell ref="B5:C5"/>
    <mergeCell ref="B6:C6"/>
    <mergeCell ref="E8:F8"/>
    <mergeCell ref="E10:F10"/>
    <mergeCell ref="G10:H10"/>
    <mergeCell ref="I10:J10"/>
    <mergeCell ref="E12:F12"/>
    <mergeCell ref="E14:F14"/>
    <mergeCell ref="E16:F16"/>
    <mergeCell ref="G16:H16"/>
    <mergeCell ref="E18:F18"/>
    <mergeCell ref="G18:H18"/>
    <mergeCell ref="E20:F20"/>
    <mergeCell ref="G20:H20"/>
    <mergeCell ref="E22:F22"/>
    <mergeCell ref="E24:F24"/>
    <mergeCell ref="G24:H24"/>
    <mergeCell ref="G26:H26"/>
    <mergeCell ref="I26:J26"/>
    <mergeCell ref="I28:J28"/>
    <mergeCell ref="G30:H30"/>
    <mergeCell ref="I30:J30"/>
    <mergeCell ref="E32:F32"/>
    <mergeCell ref="A1:C1"/>
    <mergeCell ref="A2:C2"/>
    <mergeCell ref="A3:C3"/>
    <mergeCell ref="D1:J1"/>
    <mergeCell ref="D2:J2"/>
    <mergeCell ref="D3:J3"/>
    <mergeCell ref="A5:A6"/>
    <mergeCell ref="E5:F5"/>
    <mergeCell ref="G5:H5"/>
    <mergeCell ref="I5:J5"/>
    <mergeCell ref="E6:F6"/>
    <mergeCell ref="G6:H6"/>
    <mergeCell ref="I6:J6"/>
    <mergeCell ref="A7:A8"/>
    <mergeCell ref="D7:D8"/>
    <mergeCell ref="E7:F7"/>
    <mergeCell ref="G7:H7"/>
    <mergeCell ref="I7:J7"/>
    <mergeCell ref="A9:A10"/>
    <mergeCell ref="D9:D10"/>
    <mergeCell ref="E9:F9"/>
    <mergeCell ref="G9:H9"/>
    <mergeCell ref="I9:J9"/>
    <mergeCell ref="B7:C8"/>
    <mergeCell ref="B9:C10"/>
    <mergeCell ref="A11:A12"/>
    <mergeCell ref="D11:D12"/>
    <mergeCell ref="E11:F11"/>
    <mergeCell ref="G11:H11"/>
    <mergeCell ref="I11:J11"/>
    <mergeCell ref="A13:A14"/>
    <mergeCell ref="D13:D14"/>
    <mergeCell ref="E13:F13"/>
    <mergeCell ref="G13:H13"/>
    <mergeCell ref="I13:J13"/>
    <mergeCell ref="B11:C12"/>
    <mergeCell ref="B13:C14"/>
    <mergeCell ref="A15:A16"/>
    <mergeCell ref="D15:D16"/>
    <mergeCell ref="E15:F15"/>
    <mergeCell ref="G15:H15"/>
    <mergeCell ref="I15:J15"/>
    <mergeCell ref="A17:A18"/>
    <mergeCell ref="D17:D18"/>
    <mergeCell ref="E17:F17"/>
    <mergeCell ref="G17:H17"/>
    <mergeCell ref="I17:J17"/>
    <mergeCell ref="B15:C16"/>
    <mergeCell ref="B17:C18"/>
    <mergeCell ref="A19:A20"/>
    <mergeCell ref="D19:D20"/>
    <mergeCell ref="E19:F19"/>
    <mergeCell ref="G19:H19"/>
    <mergeCell ref="I19:J19"/>
    <mergeCell ref="A21:A22"/>
    <mergeCell ref="D21:D22"/>
    <mergeCell ref="E21:F21"/>
    <mergeCell ref="G21:H21"/>
    <mergeCell ref="I21:J21"/>
    <mergeCell ref="B19:C20"/>
    <mergeCell ref="B21:C22"/>
    <mergeCell ref="A23:A24"/>
    <mergeCell ref="D23:D24"/>
    <mergeCell ref="E23:F23"/>
    <mergeCell ref="G23:H23"/>
    <mergeCell ref="I23:J23"/>
    <mergeCell ref="A25:A26"/>
    <mergeCell ref="D25:D26"/>
    <mergeCell ref="E25:F25"/>
    <mergeCell ref="G25:H25"/>
    <mergeCell ref="I25:J25"/>
    <mergeCell ref="B23:C24"/>
    <mergeCell ref="B25:C26"/>
    <mergeCell ref="D33:D34"/>
    <mergeCell ref="E33:F33"/>
    <mergeCell ref="G33:H33"/>
    <mergeCell ref="I33:J33"/>
    <mergeCell ref="A27:A28"/>
    <mergeCell ref="D27:D28"/>
    <mergeCell ref="E27:F27"/>
    <mergeCell ref="G27:H27"/>
    <mergeCell ref="I27:J27"/>
    <mergeCell ref="A29:A30"/>
    <mergeCell ref="D29:D30"/>
    <mergeCell ref="E29:F29"/>
    <mergeCell ref="G29:H29"/>
    <mergeCell ref="I29:J29"/>
    <mergeCell ref="B27:C28"/>
    <mergeCell ref="B29:C30"/>
    <mergeCell ref="B31:C32"/>
    <mergeCell ref="B33:C34"/>
    <mergeCell ref="A4:J4"/>
    <mergeCell ref="A35:A36"/>
    <mergeCell ref="D35:D36"/>
    <mergeCell ref="E35:F35"/>
    <mergeCell ref="G35:H35"/>
    <mergeCell ref="I35:J35"/>
    <mergeCell ref="E37:F37"/>
    <mergeCell ref="G37:H37"/>
    <mergeCell ref="I37:J37"/>
    <mergeCell ref="E39:F39"/>
    <mergeCell ref="G39:H39"/>
    <mergeCell ref="I39:J39"/>
    <mergeCell ref="A31:A32"/>
    <mergeCell ref="D31:D32"/>
    <mergeCell ref="E31:F31"/>
    <mergeCell ref="G31:H31"/>
    <mergeCell ref="I31:J31"/>
    <mergeCell ref="A33:A34"/>
  </mergeCells>
  <pageMargins left="0.25" right="0.25" top="1.0729166666666667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D24"/>
  <sheetViews>
    <sheetView view="pageBreakPreview" zoomScale="115" zoomScaleNormal="100" zoomScaleSheetLayoutView="115" workbookViewId="0">
      <selection activeCell="A10" sqref="A10"/>
    </sheetView>
  </sheetViews>
  <sheetFormatPr defaultRowHeight="9" x14ac:dyDescent="0.2"/>
  <cols>
    <col min="1" max="1" width="40.1640625" style="1" customWidth="1"/>
    <col min="2" max="2" width="15.1640625" style="1" customWidth="1"/>
    <col min="3" max="3" width="14.6640625" style="1" customWidth="1"/>
    <col min="4" max="4" width="39.33203125" style="1" customWidth="1"/>
    <col min="5" max="16384" width="9.33203125" style="1"/>
  </cols>
  <sheetData>
    <row r="1" spans="1:4" customFormat="1" ht="18.95" customHeight="1" x14ac:dyDescent="0.2">
      <c r="A1" s="120" t="s">
        <v>388</v>
      </c>
      <c r="B1" s="117"/>
      <c r="C1" s="117"/>
      <c r="D1" s="118"/>
    </row>
    <row r="2" spans="1:4" customFormat="1" ht="18.95" customHeight="1" x14ac:dyDescent="0.2">
      <c r="A2" s="120" t="s">
        <v>389</v>
      </c>
      <c r="B2" s="117"/>
      <c r="C2" s="117"/>
      <c r="D2" s="118"/>
    </row>
    <row r="3" spans="1:4" customFormat="1" ht="18.95" customHeight="1" x14ac:dyDescent="0.2">
      <c r="A3" s="120" t="s">
        <v>390</v>
      </c>
      <c r="B3" s="117"/>
      <c r="C3" s="117"/>
      <c r="D3" s="118"/>
    </row>
    <row r="4" spans="1:4" customFormat="1" ht="18.95" customHeight="1" x14ac:dyDescent="0.2">
      <c r="A4" s="120" t="s">
        <v>391</v>
      </c>
      <c r="B4" s="117"/>
      <c r="C4" s="117"/>
      <c r="D4" s="118"/>
    </row>
    <row r="5" spans="1:4" customFormat="1" ht="18.95" customHeight="1" x14ac:dyDescent="0.2">
      <c r="A5" s="116" t="s">
        <v>373</v>
      </c>
      <c r="B5" s="117"/>
      <c r="C5" s="117"/>
      <c r="D5" s="118"/>
    </row>
    <row r="6" spans="1:4" x14ac:dyDescent="0.2">
      <c r="A6" s="90" t="s">
        <v>335</v>
      </c>
      <c r="B6" s="90"/>
      <c r="C6" s="90"/>
      <c r="D6" s="90"/>
    </row>
    <row r="7" spans="1:4" ht="11.25" customHeight="1" x14ac:dyDescent="0.2">
      <c r="A7" s="95" t="s">
        <v>336</v>
      </c>
      <c r="B7" s="96"/>
      <c r="C7" s="96"/>
      <c r="D7" s="97"/>
    </row>
    <row r="8" spans="1:4" ht="11.25" customHeight="1" x14ac:dyDescent="0.2">
      <c r="A8" s="69" t="s">
        <v>337</v>
      </c>
      <c r="B8" s="13" t="s">
        <v>338</v>
      </c>
      <c r="C8" s="13" t="s">
        <v>339</v>
      </c>
      <c r="D8" s="14" t="s">
        <v>340</v>
      </c>
    </row>
    <row r="9" spans="1:4" ht="11.25" customHeight="1" x14ac:dyDescent="0.2">
      <c r="A9" s="6" t="s">
        <v>341</v>
      </c>
      <c r="B9" s="73">
        <v>1</v>
      </c>
      <c r="C9" s="70">
        <v>0.03</v>
      </c>
      <c r="D9" s="71">
        <v>0.03</v>
      </c>
    </row>
    <row r="10" spans="1:4" ht="11.25" customHeight="1" x14ac:dyDescent="0.2">
      <c r="A10" s="6" t="s">
        <v>342</v>
      </c>
      <c r="B10" s="73">
        <v>1</v>
      </c>
      <c r="C10" s="70">
        <v>6.4999999999999997E-3</v>
      </c>
      <c r="D10" s="71">
        <v>6.4999999999999997E-3</v>
      </c>
    </row>
    <row r="11" spans="1:4" ht="11.25" customHeight="1" x14ac:dyDescent="0.2">
      <c r="A11" s="6" t="s">
        <v>343</v>
      </c>
      <c r="B11" s="73">
        <v>1</v>
      </c>
      <c r="C11" s="70">
        <v>0.05</v>
      </c>
      <c r="D11" s="71">
        <v>0.05</v>
      </c>
    </row>
    <row r="12" spans="1:4" ht="11.25" customHeight="1" x14ac:dyDescent="0.2">
      <c r="A12" s="6" t="s">
        <v>344</v>
      </c>
      <c r="B12" s="73">
        <v>1</v>
      </c>
      <c r="C12" s="70">
        <v>0</v>
      </c>
      <c r="D12" s="71">
        <v>0</v>
      </c>
    </row>
    <row r="13" spans="1:4" ht="11.25" customHeight="1" x14ac:dyDescent="0.2">
      <c r="A13" s="6" t="s">
        <v>345</v>
      </c>
      <c r="B13" s="73">
        <v>1</v>
      </c>
      <c r="C13" s="70">
        <v>0.03</v>
      </c>
      <c r="D13" s="71">
        <v>0.03</v>
      </c>
    </row>
    <row r="14" spans="1:4" ht="11.25" customHeight="1" x14ac:dyDescent="0.2">
      <c r="A14" s="6" t="s">
        <v>346</v>
      </c>
      <c r="B14" s="73">
        <v>1</v>
      </c>
      <c r="C14" s="70">
        <v>3.7000000000000002E-3</v>
      </c>
      <c r="D14" s="71">
        <v>3.7000000000000002E-3</v>
      </c>
    </row>
    <row r="15" spans="1:4" ht="11.25" customHeight="1" x14ac:dyDescent="0.2">
      <c r="A15" s="6" t="s">
        <v>347</v>
      </c>
      <c r="B15" s="73">
        <v>1</v>
      </c>
      <c r="C15" s="70">
        <v>1.1999999999999999E-3</v>
      </c>
      <c r="D15" s="71">
        <v>1.1999999999999999E-3</v>
      </c>
    </row>
    <row r="16" spans="1:4" ht="11.25" customHeight="1" x14ac:dyDescent="0.2">
      <c r="A16" s="6" t="s">
        <v>348</v>
      </c>
      <c r="B16" s="73">
        <v>1</v>
      </c>
      <c r="C16" s="70">
        <v>9.7000000000000003E-3</v>
      </c>
      <c r="D16" s="71">
        <v>9.7000000000000003E-3</v>
      </c>
    </row>
    <row r="17" spans="1:4" ht="11.25" customHeight="1" x14ac:dyDescent="0.2">
      <c r="A17" s="6" t="s">
        <v>349</v>
      </c>
      <c r="B17" s="73">
        <v>1</v>
      </c>
      <c r="C17" s="70">
        <v>6.1600000000000002E-2</v>
      </c>
      <c r="D17" s="71">
        <v>6.1600000000000002E-2</v>
      </c>
    </row>
    <row r="18" spans="1:4" ht="11.25" customHeight="1" x14ac:dyDescent="0.2">
      <c r="A18" s="98" t="s">
        <v>350</v>
      </c>
      <c r="B18" s="99"/>
      <c r="C18" s="100"/>
      <c r="D18" s="72">
        <v>0.21410000000000001</v>
      </c>
    </row>
    <row r="19" spans="1:4" ht="65.25" customHeight="1" x14ac:dyDescent="0.2">
      <c r="A19" s="101" t="s">
        <v>351</v>
      </c>
      <c r="B19" s="102"/>
      <c r="C19" s="102"/>
      <c r="D19" s="102"/>
    </row>
    <row r="20" spans="1:4" ht="12.75" x14ac:dyDescent="0.2">
      <c r="A20" s="88" t="s">
        <v>352</v>
      </c>
      <c r="B20" s="89"/>
      <c r="C20" s="89"/>
      <c r="D20" s="89"/>
    </row>
    <row r="21" spans="1:4" ht="84.75" customHeight="1" x14ac:dyDescent="0.2">
      <c r="A21" s="91" t="s">
        <v>353</v>
      </c>
      <c r="B21" s="92"/>
      <c r="C21" s="92"/>
      <c r="D21" s="92"/>
    </row>
    <row r="22" spans="1:4" ht="30" customHeight="1" x14ac:dyDescent="0.2">
      <c r="A22" s="93" t="s">
        <v>354</v>
      </c>
      <c r="B22" s="92"/>
      <c r="C22" s="92"/>
      <c r="D22" s="92"/>
    </row>
    <row r="23" spans="1:4" ht="22.5" customHeight="1" x14ac:dyDescent="0.2">
      <c r="A23" s="94" t="s">
        <v>355</v>
      </c>
      <c r="B23" s="89"/>
      <c r="C23" s="89"/>
      <c r="D23" s="89"/>
    </row>
    <row r="24" spans="1:4" ht="24.75" customHeight="1" x14ac:dyDescent="0.2">
      <c r="A24" s="94" t="s">
        <v>356</v>
      </c>
      <c r="B24" s="89"/>
      <c r="C24" s="89"/>
      <c r="D24" s="89"/>
    </row>
  </sheetData>
  <mergeCells count="14">
    <mergeCell ref="A6:D6"/>
    <mergeCell ref="A19:D19"/>
    <mergeCell ref="A20:D20"/>
    <mergeCell ref="A1:D1"/>
    <mergeCell ref="A2:D2"/>
    <mergeCell ref="A3:D3"/>
    <mergeCell ref="A4:D4"/>
    <mergeCell ref="A5:D5"/>
    <mergeCell ref="A21:D21"/>
    <mergeCell ref="A22:D22"/>
    <mergeCell ref="A23:D23"/>
    <mergeCell ref="A24:D24"/>
    <mergeCell ref="A7:D7"/>
    <mergeCell ref="A18:C18"/>
  </mergeCells>
  <pageMargins left="0.25" right="0.25" top="1.125" bottom="0.75" header="0.3" footer="0.3"/>
  <pageSetup paperSize="9" orientation="portrait" verticalDpi="0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D21"/>
  <sheetViews>
    <sheetView view="pageBreakPreview" zoomScale="115" zoomScaleNormal="100" zoomScaleSheetLayoutView="115" workbookViewId="0">
      <selection activeCell="C22" sqref="C22"/>
    </sheetView>
  </sheetViews>
  <sheetFormatPr defaultRowHeight="9" x14ac:dyDescent="0.2"/>
  <cols>
    <col min="1" max="1" width="13.33203125" style="1" customWidth="1"/>
    <col min="2" max="2" width="59.83203125" style="1" customWidth="1"/>
    <col min="3" max="3" width="16.83203125" style="1" customWidth="1"/>
    <col min="4" max="4" width="20.1640625" style="1" customWidth="1"/>
    <col min="5" max="16384" width="9.33203125" style="1"/>
  </cols>
  <sheetData>
    <row r="1" spans="1:4" s="109" customFormat="1" ht="19.5" customHeight="1" x14ac:dyDescent="0.2">
      <c r="A1" s="112" t="s">
        <v>374</v>
      </c>
      <c r="B1" s="108"/>
      <c r="C1" s="112" t="s">
        <v>386</v>
      </c>
      <c r="D1" s="108"/>
    </row>
    <row r="2" spans="1:4" s="109" customFormat="1" ht="18.75" customHeight="1" x14ac:dyDescent="0.2">
      <c r="A2" s="112" t="s">
        <v>376</v>
      </c>
      <c r="B2" s="108"/>
      <c r="C2" s="106" t="s">
        <v>370</v>
      </c>
      <c r="D2" s="108"/>
    </row>
    <row r="3" spans="1:4" s="109" customFormat="1" ht="18" customHeight="1" x14ac:dyDescent="0.2">
      <c r="A3" s="112" t="s">
        <v>384</v>
      </c>
      <c r="B3" s="108"/>
      <c r="C3" s="112" t="s">
        <v>378</v>
      </c>
      <c r="D3" s="108"/>
    </row>
    <row r="4" spans="1:4" x14ac:dyDescent="0.2">
      <c r="A4" s="90" t="s">
        <v>357</v>
      </c>
      <c r="B4" s="90"/>
      <c r="C4" s="90"/>
      <c r="D4" s="90"/>
    </row>
    <row r="5" spans="1:4" s="28" customFormat="1" ht="18" x14ac:dyDescent="0.2">
      <c r="A5" s="2" t="s">
        <v>358</v>
      </c>
      <c r="B5" s="2" t="s">
        <v>359</v>
      </c>
      <c r="C5" s="2" t="s">
        <v>360</v>
      </c>
      <c r="D5" s="2" t="s">
        <v>361</v>
      </c>
    </row>
    <row r="6" spans="1:4" x14ac:dyDescent="0.2">
      <c r="A6" s="26" t="s">
        <v>304</v>
      </c>
      <c r="B6" s="6" t="s">
        <v>22</v>
      </c>
      <c r="C6" s="8">
        <f>Somatorio!D7</f>
        <v>11455.761959999998</v>
      </c>
      <c r="D6" s="9">
        <v>2.2000000000000002</v>
      </c>
    </row>
    <row r="7" spans="1:4" x14ac:dyDescent="0.2">
      <c r="A7" s="26" t="s">
        <v>305</v>
      </c>
      <c r="B7" s="6" t="s">
        <v>49</v>
      </c>
      <c r="C7" s="8">
        <f>Somatorio!D8</f>
        <v>1834.407972</v>
      </c>
      <c r="D7" s="9">
        <v>0.35</v>
      </c>
    </row>
    <row r="8" spans="1:4" x14ac:dyDescent="0.2">
      <c r="A8" s="26" t="s">
        <v>306</v>
      </c>
      <c r="B8" s="6" t="s">
        <v>74</v>
      </c>
      <c r="C8" s="8">
        <f>Somatorio!D9</f>
        <v>4344.6204269999998</v>
      </c>
      <c r="D8" s="9">
        <v>0.83</v>
      </c>
    </row>
    <row r="9" spans="1:4" x14ac:dyDescent="0.2">
      <c r="A9" s="26" t="s">
        <v>307</v>
      </c>
      <c r="B9" s="6" t="s">
        <v>89</v>
      </c>
      <c r="C9" s="8">
        <f>Somatorio!D10</f>
        <v>36455.999237999997</v>
      </c>
      <c r="D9" s="9">
        <v>7</v>
      </c>
    </row>
    <row r="10" spans="1:4" x14ac:dyDescent="0.2">
      <c r="A10" s="26" t="s">
        <v>308</v>
      </c>
      <c r="B10" s="6" t="s">
        <v>129</v>
      </c>
      <c r="C10" s="8">
        <f>Somatorio!D11</f>
        <v>3953.3645609999999</v>
      </c>
      <c r="D10" s="9">
        <v>0.76</v>
      </c>
    </row>
    <row r="11" spans="1:4" x14ac:dyDescent="0.2">
      <c r="A11" s="26" t="s">
        <v>309</v>
      </c>
      <c r="B11" s="6" t="s">
        <v>138</v>
      </c>
      <c r="C11" s="8">
        <f>Somatorio!D12</f>
        <v>37372.219803</v>
      </c>
      <c r="D11" s="9">
        <v>7.18</v>
      </c>
    </row>
    <row r="12" spans="1:4" x14ac:dyDescent="0.2">
      <c r="A12" s="26" t="s">
        <v>310</v>
      </c>
      <c r="B12" s="6" t="s">
        <v>257</v>
      </c>
      <c r="C12" s="8">
        <f>Somatorio!D13</f>
        <v>27415.191446999994</v>
      </c>
      <c r="D12" s="9">
        <v>5.26</v>
      </c>
    </row>
    <row r="13" spans="1:4" x14ac:dyDescent="0.2">
      <c r="A13" s="26" t="s">
        <v>311</v>
      </c>
      <c r="B13" s="6" t="s">
        <v>53</v>
      </c>
      <c r="C13" s="8">
        <f>Somatorio!D14</f>
        <v>1453.2776999999999</v>
      </c>
      <c r="D13" s="9">
        <v>0.28000000000000003</v>
      </c>
    </row>
    <row r="14" spans="1:4" x14ac:dyDescent="0.2">
      <c r="A14" s="26" t="s">
        <v>312</v>
      </c>
      <c r="B14" s="6" t="s">
        <v>212</v>
      </c>
      <c r="C14" s="8">
        <f>Somatorio!D15</f>
        <v>5057.9527410000001</v>
      </c>
      <c r="D14" s="9">
        <v>0.97</v>
      </c>
    </row>
    <row r="15" spans="1:4" x14ac:dyDescent="0.2">
      <c r="A15" s="26" t="s">
        <v>313</v>
      </c>
      <c r="B15" s="6" t="s">
        <v>216</v>
      </c>
      <c r="C15" s="8">
        <f>Somatorio!D16</f>
        <v>233114.59386899997</v>
      </c>
      <c r="D15" s="9">
        <v>44.76</v>
      </c>
    </row>
    <row r="16" spans="1:4" x14ac:dyDescent="0.2">
      <c r="A16" s="26" t="s">
        <v>314</v>
      </c>
      <c r="B16" s="6" t="s">
        <v>220</v>
      </c>
      <c r="C16" s="8">
        <f>Somatorio!D17</f>
        <v>100848.864411</v>
      </c>
      <c r="D16" s="9">
        <v>19.36</v>
      </c>
    </row>
    <row r="17" spans="1:4" x14ac:dyDescent="0.2">
      <c r="A17" s="26" t="s">
        <v>315</v>
      </c>
      <c r="B17" s="6" t="s">
        <v>57</v>
      </c>
      <c r="C17" s="8">
        <f>Somatorio!D18</f>
        <v>1209.9720599999998</v>
      </c>
      <c r="D17" s="9">
        <v>0.23</v>
      </c>
    </row>
    <row r="18" spans="1:4" x14ac:dyDescent="0.2">
      <c r="A18" s="26" t="s">
        <v>316</v>
      </c>
      <c r="B18" s="6" t="s">
        <v>28</v>
      </c>
      <c r="C18" s="8">
        <f>Somatorio!D19</f>
        <v>29591.696376</v>
      </c>
      <c r="D18" s="9">
        <v>5.68</v>
      </c>
    </row>
    <row r="19" spans="1:4" x14ac:dyDescent="0.2">
      <c r="A19" s="26" t="s">
        <v>317</v>
      </c>
      <c r="B19" s="6" t="s">
        <v>63</v>
      </c>
      <c r="C19" s="8">
        <f>Somatorio!D20</f>
        <v>23325.216354000004</v>
      </c>
      <c r="D19" s="9">
        <v>4.4800000000000004</v>
      </c>
    </row>
    <row r="20" spans="1:4" x14ac:dyDescent="0.2">
      <c r="A20" s="26" t="s">
        <v>318</v>
      </c>
      <c r="B20" s="6" t="s">
        <v>35</v>
      </c>
      <c r="C20" s="8">
        <f>Somatorio!D21</f>
        <v>3459.0680279999997</v>
      </c>
      <c r="D20" s="9">
        <v>0.66</v>
      </c>
    </row>
    <row r="21" spans="1:4" x14ac:dyDescent="0.2">
      <c r="A21" s="103" t="s">
        <v>362</v>
      </c>
      <c r="B21" s="104"/>
      <c r="C21" s="11">
        <f>SUM(C6:C20)</f>
        <v>520892.20694699994</v>
      </c>
      <c r="D21" s="12">
        <v>100</v>
      </c>
    </row>
  </sheetData>
  <mergeCells count="8">
    <mergeCell ref="A21:B21"/>
    <mergeCell ref="A4:D4"/>
    <mergeCell ref="A1:B1"/>
    <mergeCell ref="C1:D1"/>
    <mergeCell ref="A2:B2"/>
    <mergeCell ref="C2:D2"/>
    <mergeCell ref="A3:B3"/>
    <mergeCell ref="C3:D3"/>
  </mergeCells>
  <pageMargins left="0.25" right="0.25" top="1.0416666666666667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F9"/>
  <sheetViews>
    <sheetView view="pageBreakPreview" zoomScale="130" zoomScaleNormal="100" zoomScaleSheetLayoutView="130" workbookViewId="0">
      <selection activeCell="E6" sqref="E6"/>
    </sheetView>
  </sheetViews>
  <sheetFormatPr defaultRowHeight="9" x14ac:dyDescent="0.2"/>
  <cols>
    <col min="1" max="1" width="11.83203125" style="25" customWidth="1"/>
    <col min="2" max="2" width="12.6640625" style="25" bestFit="1" customWidth="1"/>
    <col min="3" max="3" width="43.5" style="25" customWidth="1"/>
    <col min="4" max="5" width="12.5" style="25" customWidth="1"/>
    <col min="6" max="6" width="14.6640625" style="25" customWidth="1"/>
    <col min="7" max="16384" width="9.33203125" style="25"/>
  </cols>
  <sheetData>
    <row r="1" spans="1:6" s="109" customFormat="1" ht="18.95" customHeight="1" x14ac:dyDescent="0.2">
      <c r="A1" s="112" t="s">
        <v>374</v>
      </c>
      <c r="B1" s="107"/>
      <c r="C1" s="108"/>
      <c r="D1" s="112" t="s">
        <v>375</v>
      </c>
      <c r="E1" s="107"/>
      <c r="F1" s="108"/>
    </row>
    <row r="2" spans="1:6" s="109" customFormat="1" ht="18.95" customHeight="1" x14ac:dyDescent="0.2">
      <c r="A2" s="112" t="s">
        <v>376</v>
      </c>
      <c r="B2" s="107"/>
      <c r="C2" s="108"/>
      <c r="D2" s="112" t="s">
        <v>386</v>
      </c>
      <c r="E2" s="107"/>
      <c r="F2" s="108"/>
    </row>
    <row r="3" spans="1:6" s="109" customFormat="1" ht="18.95" customHeight="1" x14ac:dyDescent="0.2">
      <c r="A3" s="106" t="s">
        <v>370</v>
      </c>
      <c r="B3" s="107"/>
      <c r="C3" s="108"/>
      <c r="D3" s="112" t="s">
        <v>379</v>
      </c>
      <c r="E3" s="107"/>
      <c r="F3" s="108"/>
    </row>
    <row r="4" spans="1:6" x14ac:dyDescent="0.2">
      <c r="A4" s="105" t="s">
        <v>363</v>
      </c>
      <c r="B4" s="105"/>
      <c r="C4" s="105"/>
      <c r="D4" s="105"/>
      <c r="E4" s="105"/>
      <c r="F4" s="105"/>
    </row>
    <row r="5" spans="1:6" s="28" customFormat="1" ht="22.5" customHeight="1" x14ac:dyDescent="0.2">
      <c r="A5" s="65" t="s">
        <v>358</v>
      </c>
      <c r="B5" s="65" t="s">
        <v>364</v>
      </c>
      <c r="C5" s="65" t="s">
        <v>337</v>
      </c>
      <c r="D5" s="65" t="s">
        <v>16</v>
      </c>
      <c r="E5" s="65" t="s">
        <v>17</v>
      </c>
      <c r="F5" s="75" t="s">
        <v>366</v>
      </c>
    </row>
    <row r="6" spans="1:6" s="28" customFormat="1" x14ac:dyDescent="0.2">
      <c r="A6" s="74" t="s">
        <v>314</v>
      </c>
      <c r="B6" s="27" t="s">
        <v>220</v>
      </c>
      <c r="C6" s="74" t="s">
        <v>365</v>
      </c>
      <c r="D6" s="27" t="s">
        <v>26</v>
      </c>
      <c r="E6" s="23">
        <v>956.52</v>
      </c>
      <c r="F6" s="23">
        <v>478.26</v>
      </c>
    </row>
    <row r="7" spans="1:6" s="28" customFormat="1" x14ac:dyDescent="0.2">
      <c r="A7" s="74" t="s">
        <v>317</v>
      </c>
      <c r="B7" s="27" t="s">
        <v>63</v>
      </c>
      <c r="C7" s="74" t="s">
        <v>63</v>
      </c>
      <c r="D7" s="27" t="s">
        <v>26</v>
      </c>
      <c r="E7" s="23">
        <v>1350.69</v>
      </c>
      <c r="F7" s="23">
        <v>675.35</v>
      </c>
    </row>
    <row r="9" spans="1:6" ht="11.25" customHeight="1" x14ac:dyDescent="0.2">
      <c r="A9" s="88" t="s">
        <v>367</v>
      </c>
      <c r="B9" s="89"/>
      <c r="C9" s="89"/>
      <c r="D9" s="89"/>
      <c r="E9" s="89"/>
      <c r="F9" s="89"/>
    </row>
  </sheetData>
  <mergeCells count="8">
    <mergeCell ref="A4:F4"/>
    <mergeCell ref="A9:F9"/>
    <mergeCell ref="A1:C1"/>
    <mergeCell ref="D1:F1"/>
    <mergeCell ref="A2:C2"/>
    <mergeCell ref="D2:F2"/>
    <mergeCell ref="A3:C3"/>
    <mergeCell ref="D3:F3"/>
  </mergeCells>
  <pageMargins left="0.25" right="0.25" top="1.03125" bottom="0.75" header="0.3" footer="0.3"/>
  <pageSetup paperSize="9" orientation="portrait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Resumo</vt:lpstr>
      <vt:lpstr>Planilha orçamentaria</vt:lpstr>
      <vt:lpstr>Somatorio</vt:lpstr>
      <vt:lpstr>Cronograma</vt:lpstr>
      <vt:lpstr>BDI</vt:lpstr>
      <vt:lpstr>Relatorio central</vt:lpstr>
      <vt:lpstr>Parcela de maior relevancia</vt:lpstr>
      <vt:lpstr>BDI!Area_de_impressao</vt:lpstr>
      <vt:lpstr>'Planilha orçamentaria'!Area_de_impressao</vt:lpstr>
      <vt:lpstr>'Planilha orçamentaria'!Titulos_de_impressao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 PADRÃO v2.22.04.03 (VERBA) EM ANDAMENTO v2.0.xlsm</dc:title>
  <dc:creator>elder.mancini</dc:creator>
  <cp:lastModifiedBy>User</cp:lastModifiedBy>
  <cp:lastPrinted>2024-02-26T18:54:57Z</cp:lastPrinted>
  <dcterms:created xsi:type="dcterms:W3CDTF">2024-02-26T16:53:21Z</dcterms:created>
  <dcterms:modified xsi:type="dcterms:W3CDTF">2024-02-26T19:16:34Z</dcterms:modified>
</cp:coreProperties>
</file>